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5.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6.xml" ContentType="application/vnd.openxmlformats-officedocument.drawing+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7.xml" ContentType="application/vnd.openxmlformats-officedocument.drawing+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drawings/drawing8.xml" ContentType="application/vnd.openxmlformats-officedocument.drawing+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drawings/drawing9.xml" ContentType="application/vnd.openxmlformats-officedocument.drawing+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drawings/drawing10.xml" ContentType="application/vnd.openxmlformats-officedocument.drawing+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drawings/drawing11.xml" ContentType="application/vnd.openxmlformats-officedocument.drawing+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drawings/drawing12.xml" ContentType="application/vnd.openxmlformats-officedocument.drawing+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drawings/drawing13.xml" ContentType="application/vnd.openxmlformats-officedocument.drawing+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drawings/drawing14.xml" ContentType="application/vnd.openxmlformats-officedocument.drawing+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drawings/drawing15.xml" ContentType="application/vnd.openxmlformats-officedocument.drawing+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drawings/drawing16.xml" ContentType="application/vnd.openxmlformats-officedocument.drawing+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drawings/drawing17.xml" ContentType="application/vnd.openxmlformats-officedocument.drawing+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drawings/drawing18.xml" ContentType="application/vnd.openxmlformats-officedocument.drawing+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charts/chart104.xml" ContentType="application/vnd.openxmlformats-officedocument.drawingml.chart+xml"/>
  <Override PartName="/xl/charts/style104.xml" ContentType="application/vnd.ms-office.chartstyle+xml"/>
  <Override PartName="/xl/charts/colors104.xml" ContentType="application/vnd.ms-office.chartcolorstyle+xml"/>
  <Override PartName="/xl/charts/chart105.xml" ContentType="application/vnd.openxmlformats-officedocument.drawingml.chart+xml"/>
  <Override PartName="/xl/charts/style105.xml" ContentType="application/vnd.ms-office.chartstyle+xml"/>
  <Override PartName="/xl/charts/colors105.xml" ContentType="application/vnd.ms-office.chartcolorstyle+xml"/>
  <Override PartName="/xl/charts/chart106.xml" ContentType="application/vnd.openxmlformats-officedocument.drawingml.chart+xml"/>
  <Override PartName="/xl/charts/style106.xml" ContentType="application/vnd.ms-office.chartstyle+xml"/>
  <Override PartName="/xl/charts/colors106.xml" ContentType="application/vnd.ms-office.chartcolorstyle+xml"/>
  <Override PartName="/xl/charts/chart107.xml" ContentType="application/vnd.openxmlformats-officedocument.drawingml.chart+xml"/>
  <Override PartName="/xl/charts/style107.xml" ContentType="application/vnd.ms-office.chartstyle+xml"/>
  <Override PartName="/xl/charts/colors107.xml" ContentType="application/vnd.ms-office.chartcolorstyle+xml"/>
  <Override PartName="/xl/charts/chart108.xml" ContentType="application/vnd.openxmlformats-officedocument.drawingml.chart+xml"/>
  <Override PartName="/xl/charts/style108.xml" ContentType="application/vnd.ms-office.chartstyle+xml"/>
  <Override PartName="/xl/charts/colors10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Proj-15\WRM\15-309 LCBP Jewett Brook Tile Drain Study\Data\Loading Calcs\"/>
    </mc:Choice>
  </mc:AlternateContent>
  <bookViews>
    <workbookView xWindow="0" yWindow="0" windowWidth="23040" windowHeight="9972" tabRatio="970" firstSheet="1" activeTab="18"/>
  </bookViews>
  <sheets>
    <sheet name="JBT02" sheetId="3" r:id="rId1"/>
    <sheet name="JBT02_SameDuration" sheetId="11" r:id="rId2"/>
    <sheet name="JBT05" sheetId="4" r:id="rId3"/>
    <sheet name="JBT05_SameDuration" sheetId="12" r:id="rId4"/>
    <sheet name="JBT06" sheetId="5" r:id="rId5"/>
    <sheet name="JBT06_SameDuration" sheetId="13" r:id="rId6"/>
    <sheet name="JBT11" sheetId="6" r:id="rId7"/>
    <sheet name="JBT11_SameDuration" sheetId="14" r:id="rId8"/>
    <sheet name="JBT14" sheetId="7" r:id="rId9"/>
    <sheet name="JBT14_SameDuration" sheetId="15" r:id="rId10"/>
    <sheet name="JBT18" sheetId="8" r:id="rId11"/>
    <sheet name="JBT18_SameDuration" sheetId="16" r:id="rId12"/>
    <sheet name="JBT19" sheetId="9" r:id="rId13"/>
    <sheet name="JBT19_SameDuration" sheetId="17" r:id="rId14"/>
    <sheet name="JBT01" sheetId="1" r:id="rId15"/>
    <sheet name="JBT01_SameDuration" sheetId="2" r:id="rId16"/>
    <sheet name="JBT13" sheetId="10" r:id="rId17"/>
    <sheet name="JBT13_SameDuration" sheetId="18" r:id="rId18"/>
    <sheet name="EstimatesTable" sheetId="24" r:id="rId19"/>
    <sheet name="Sheet1" sheetId="25" r:id="rId2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 i="24" l="1"/>
  <c r="O4" i="24"/>
  <c r="N4" i="24"/>
  <c r="M4" i="24"/>
  <c r="Q4" i="24" l="1"/>
  <c r="I4" i="24"/>
  <c r="H4" i="24"/>
  <c r="G4" i="24"/>
  <c r="P34" i="24" l="1"/>
  <c r="P52" i="24" l="1"/>
  <c r="O52" i="24"/>
  <c r="N52" i="24"/>
  <c r="P50" i="24"/>
  <c r="O50" i="24"/>
  <c r="N50" i="24"/>
  <c r="P51" i="24"/>
  <c r="O51" i="24"/>
  <c r="N51" i="24"/>
  <c r="P49" i="24"/>
  <c r="O49" i="24"/>
  <c r="N49" i="24"/>
  <c r="P44" i="24"/>
  <c r="O44" i="24"/>
  <c r="N44" i="24"/>
  <c r="P42" i="24"/>
  <c r="O42" i="24"/>
  <c r="N42" i="24"/>
  <c r="P45" i="24"/>
  <c r="O45" i="24"/>
  <c r="N45" i="24"/>
  <c r="P43" i="24"/>
  <c r="O43" i="24"/>
  <c r="N43" i="24"/>
  <c r="P3" i="24"/>
  <c r="P2" i="24"/>
  <c r="O3" i="24"/>
  <c r="O2" i="24"/>
  <c r="P12" i="24"/>
  <c r="O12" i="24"/>
  <c r="N12" i="24"/>
  <c r="P11" i="24"/>
  <c r="O11" i="24"/>
  <c r="N11" i="24"/>
  <c r="P9" i="24"/>
  <c r="O9" i="24"/>
  <c r="N9" i="24"/>
  <c r="P8" i="24"/>
  <c r="N8" i="24"/>
  <c r="O8" i="24"/>
  <c r="P10" i="24"/>
  <c r="O10" i="24"/>
  <c r="N10" i="24"/>
  <c r="P7" i="24"/>
  <c r="O7" i="24"/>
  <c r="N7" i="24"/>
  <c r="P19" i="24"/>
  <c r="O19" i="24"/>
  <c r="N19" i="24"/>
  <c r="P17" i="24"/>
  <c r="O17" i="24"/>
  <c r="N17" i="24"/>
  <c r="P18" i="24"/>
  <c r="P16" i="24"/>
  <c r="P25" i="24"/>
  <c r="O25" i="24"/>
  <c r="P24" i="24"/>
  <c r="O24" i="24"/>
  <c r="N24" i="24"/>
  <c r="P23" i="24"/>
  <c r="O23" i="24"/>
  <c r="P22" i="24"/>
  <c r="O22" i="24"/>
  <c r="N22" i="24"/>
  <c r="P32" i="24"/>
  <c r="O32" i="24"/>
  <c r="N32" i="24"/>
  <c r="P30" i="24"/>
  <c r="O30" i="24"/>
  <c r="N30" i="24"/>
  <c r="P29" i="24"/>
  <c r="P31" i="24"/>
  <c r="N31" i="24"/>
  <c r="O31" i="24"/>
  <c r="O29" i="24" l="1"/>
  <c r="N29" i="24"/>
  <c r="P40" i="24"/>
  <c r="N40" i="24"/>
  <c r="O40" i="24"/>
  <c r="P39" i="24"/>
  <c r="O39" i="24"/>
  <c r="N39" i="24"/>
  <c r="M40" i="24"/>
  <c r="M39" i="24"/>
  <c r="P38" i="24"/>
  <c r="O38" i="24"/>
  <c r="P37" i="24"/>
  <c r="O37" i="24"/>
  <c r="N37" i="24"/>
  <c r="M37" i="24"/>
  <c r="N38" i="24"/>
  <c r="N25" i="24"/>
  <c r="N23" i="24"/>
  <c r="M12" i="24" l="1"/>
  <c r="M11" i="24"/>
  <c r="M10" i="24"/>
  <c r="M9" i="24"/>
  <c r="M8" i="24"/>
  <c r="M7" i="24"/>
  <c r="M3" i="24"/>
  <c r="M2" i="24"/>
  <c r="N3" i="24"/>
  <c r="N2" i="24"/>
  <c r="M19" i="24" l="1"/>
  <c r="M18" i="24"/>
  <c r="M17" i="24"/>
  <c r="M16" i="24"/>
  <c r="M25" i="24"/>
  <c r="M24" i="24"/>
  <c r="M23" i="24"/>
  <c r="M22" i="24"/>
  <c r="M32" i="24"/>
  <c r="M30" i="24"/>
  <c r="M31" i="24"/>
  <c r="M29" i="24"/>
  <c r="M38" i="24"/>
  <c r="M45" i="24"/>
  <c r="M44" i="24"/>
  <c r="M43" i="24"/>
  <c r="M42" i="24"/>
  <c r="M51" i="24"/>
  <c r="M52" i="24"/>
  <c r="M50" i="24"/>
  <c r="M49" i="24"/>
  <c r="G2" i="24" l="1"/>
  <c r="H2" i="24" s="1"/>
  <c r="I2" i="24" s="1"/>
  <c r="Q2" i="24" s="1"/>
  <c r="G3" i="24"/>
  <c r="H3" i="24" s="1"/>
  <c r="I3" i="24" s="1"/>
  <c r="Q3" i="24" s="1"/>
  <c r="Q4" i="18"/>
  <c r="R4" i="18"/>
  <c r="S4" i="18"/>
  <c r="T4" i="18"/>
  <c r="Q5" i="18"/>
  <c r="R5" i="18"/>
  <c r="S5" i="18"/>
  <c r="T5" i="18"/>
  <c r="Q6" i="18"/>
  <c r="R6" i="18"/>
  <c r="S6" i="18"/>
  <c r="T6" i="18"/>
  <c r="Q7" i="18"/>
  <c r="R7" i="18"/>
  <c r="S7" i="18"/>
  <c r="T7" i="18"/>
  <c r="Q8" i="18"/>
  <c r="R8" i="18"/>
  <c r="S8" i="18"/>
  <c r="T8" i="18"/>
  <c r="Q9" i="18"/>
  <c r="R9" i="18"/>
  <c r="S9" i="18"/>
  <c r="T9" i="18"/>
  <c r="Q10" i="18"/>
  <c r="R10" i="18"/>
  <c r="S10" i="18"/>
  <c r="T10" i="18"/>
  <c r="Q11" i="18"/>
  <c r="R11" i="18"/>
  <c r="S11" i="18"/>
  <c r="T11" i="18"/>
  <c r="Q12" i="18"/>
  <c r="R12" i="18"/>
  <c r="S12" i="18"/>
  <c r="T12" i="18"/>
  <c r="Q13" i="18"/>
  <c r="R13" i="18"/>
  <c r="S13" i="18"/>
  <c r="T13" i="18"/>
  <c r="R2" i="18"/>
  <c r="S2" i="18"/>
  <c r="T2" i="18"/>
  <c r="Q2" i="18"/>
  <c r="G49" i="24"/>
  <c r="H49" i="24" s="1"/>
  <c r="I49" i="24" s="1"/>
  <c r="Q49" i="24" s="1"/>
  <c r="G50" i="24"/>
  <c r="H50" i="24" s="1"/>
  <c r="I50" i="24" s="1"/>
  <c r="Q50" i="24" s="1"/>
  <c r="G51" i="24"/>
  <c r="H51" i="24" s="1"/>
  <c r="I51" i="24" s="1"/>
  <c r="Q51" i="24" s="1"/>
  <c r="G52" i="24"/>
  <c r="H52" i="24" s="1"/>
  <c r="I52" i="24" s="1"/>
  <c r="Q52" i="24" s="1"/>
  <c r="G42" i="24"/>
  <c r="H42" i="24" s="1"/>
  <c r="I42" i="24" s="1"/>
  <c r="Q42" i="24" s="1"/>
  <c r="G43" i="24"/>
  <c r="H43" i="24" s="1"/>
  <c r="I43" i="24" s="1"/>
  <c r="Q43" i="24" s="1"/>
  <c r="G44" i="24"/>
  <c r="H44" i="24"/>
  <c r="I44" i="24" s="1"/>
  <c r="Q44" i="24" s="1"/>
  <c r="G45" i="24"/>
  <c r="H45" i="24" s="1"/>
  <c r="I45" i="24" s="1"/>
  <c r="Q45" i="24" s="1"/>
  <c r="G37" i="24" l="1"/>
  <c r="H37" i="24" s="1"/>
  <c r="I37" i="24" s="1"/>
  <c r="Q37" i="24" s="1"/>
  <c r="G38" i="24"/>
  <c r="H38" i="24" s="1"/>
  <c r="I38" i="24" s="1"/>
  <c r="Q38" i="24" s="1"/>
  <c r="G39" i="24"/>
  <c r="H39" i="24" s="1"/>
  <c r="I39" i="24" s="1"/>
  <c r="Q39" i="24" s="1"/>
  <c r="G40" i="24"/>
  <c r="H40" i="24" s="1"/>
  <c r="I40" i="24" s="1"/>
  <c r="Q40" i="24" s="1"/>
  <c r="G29" i="24"/>
  <c r="H29" i="24" s="1"/>
  <c r="I29" i="24" s="1"/>
  <c r="Q29" i="24" s="1"/>
  <c r="G30" i="24"/>
  <c r="H30" i="24" s="1"/>
  <c r="I30" i="24" s="1"/>
  <c r="Q30" i="24" s="1"/>
  <c r="G31" i="24"/>
  <c r="H31" i="24" s="1"/>
  <c r="I31" i="24" s="1"/>
  <c r="Q31" i="24" s="1"/>
  <c r="G32" i="24"/>
  <c r="H32" i="24" s="1"/>
  <c r="I32" i="24" s="1"/>
  <c r="Q32" i="24" s="1"/>
  <c r="G22" i="24"/>
  <c r="H22" i="24" s="1"/>
  <c r="I22" i="24" s="1"/>
  <c r="Q22" i="24" s="1"/>
  <c r="G23" i="24"/>
  <c r="H23" i="24" s="1"/>
  <c r="I23" i="24" s="1"/>
  <c r="Q23" i="24" s="1"/>
  <c r="G24" i="24"/>
  <c r="H24" i="24" s="1"/>
  <c r="I24" i="24" s="1"/>
  <c r="Q24" i="24" s="1"/>
  <c r="G25" i="24"/>
  <c r="H25" i="24" s="1"/>
  <c r="I25" i="24" s="1"/>
  <c r="Q25" i="24" s="1"/>
  <c r="G16" i="24"/>
  <c r="H16" i="24" s="1"/>
  <c r="I16" i="24" s="1"/>
  <c r="Q16" i="24" s="1"/>
  <c r="G17" i="24"/>
  <c r="H17" i="24" s="1"/>
  <c r="I17" i="24" s="1"/>
  <c r="Q17" i="24" s="1"/>
  <c r="G18" i="24"/>
  <c r="H18" i="24" s="1"/>
  <c r="I18" i="24" s="1"/>
  <c r="Q18" i="24" s="1"/>
  <c r="G19" i="24"/>
  <c r="H19" i="24" s="1"/>
  <c r="I19" i="24" s="1"/>
  <c r="Q19" i="24" s="1"/>
  <c r="G8" i="24"/>
  <c r="H8" i="24" s="1"/>
  <c r="I8" i="24" s="1"/>
  <c r="Q8" i="24" s="1"/>
  <c r="G9" i="24"/>
  <c r="H9" i="24" s="1"/>
  <c r="I9" i="24" s="1"/>
  <c r="Q9" i="24" s="1"/>
  <c r="G10" i="24"/>
  <c r="H10" i="24" s="1"/>
  <c r="I10" i="24" s="1"/>
  <c r="Q10" i="24" s="1"/>
  <c r="G11" i="24"/>
  <c r="H11" i="24" s="1"/>
  <c r="I11" i="24" s="1"/>
  <c r="Q11" i="24" s="1"/>
  <c r="G12" i="24"/>
  <c r="H12" i="24" s="1"/>
  <c r="I12" i="24" s="1"/>
  <c r="Q12" i="24" s="1"/>
  <c r="G7" i="24"/>
  <c r="H7" i="24" s="1"/>
  <c r="I7" i="24" s="1"/>
  <c r="Q7" i="24" s="1"/>
  <c r="L19" i="13" l="1"/>
  <c r="N19" i="13"/>
  <c r="M19" i="13"/>
</calcChain>
</file>

<file path=xl/sharedStrings.xml><?xml version="1.0" encoding="utf-8"?>
<sst xmlns="http://schemas.openxmlformats.org/spreadsheetml/2006/main" count="1639" uniqueCount="322">
  <si>
    <t>JBT01-05022017-1</t>
  </si>
  <si>
    <t/>
  </si>
  <si>
    <t>JBT01</t>
  </si>
  <si>
    <t>JBT01-05092017-1</t>
  </si>
  <si>
    <t>JBT01-05092017-2+3</t>
  </si>
  <si>
    <t>JBT01-05162017-1</t>
  </si>
  <si>
    <t>JBT01-05232017-1</t>
  </si>
  <si>
    <t>JBT01-05302017-1</t>
  </si>
  <si>
    <t>JBT01-06072017-1</t>
  </si>
  <si>
    <t>!</t>
  </si>
  <si>
    <t>VAEL remark: TDP biased low</t>
  </si>
  <si>
    <t>JBT01-06132017-1</t>
  </si>
  <si>
    <t>JBT01-06222017-1</t>
  </si>
  <si>
    <t>JBT01-06272017-1</t>
  </si>
  <si>
    <t>JBT01-06272017-2</t>
  </si>
  <si>
    <t>JBT01-06272017-3</t>
  </si>
  <si>
    <t>JBT01-07052017-1</t>
  </si>
  <si>
    <t>JBT01-07052017-2+3</t>
  </si>
  <si>
    <t>JBT01-07112017-1+2</t>
  </si>
  <si>
    <t>JBT01-07182017-1+2</t>
  </si>
  <si>
    <t>JBT01-07262017-1</t>
  </si>
  <si>
    <t>Reversed TP and TDP result</t>
  </si>
  <si>
    <t>JBT01-08012017-1</t>
  </si>
  <si>
    <t>Sample ID</t>
  </si>
  <si>
    <t>Lab ID</t>
  </si>
  <si>
    <t>SumVol</t>
  </si>
  <si>
    <t>TP (µg/L)</t>
  </si>
  <si>
    <t>TDP (µg/L)</t>
  </si>
  <si>
    <t>TN (mg/L)</t>
  </si>
  <si>
    <t>TPLoad (Kg)</t>
  </si>
  <si>
    <t>TDPLoad (Kg)</t>
  </si>
  <si>
    <t>TN Load (Kg)</t>
  </si>
  <si>
    <t>Flag</t>
  </si>
  <si>
    <t>Comment</t>
  </si>
  <si>
    <t>Percent of Total</t>
  </si>
  <si>
    <t>SQ/HQ</t>
  </si>
  <si>
    <t>SITE</t>
  </si>
  <si>
    <t>JBT02-05022017-1</t>
  </si>
  <si>
    <t>JBT02</t>
  </si>
  <si>
    <t>JBT02-05092017-1</t>
  </si>
  <si>
    <t>JBT02-05092017-2</t>
  </si>
  <si>
    <t>JBT02-05092017-3</t>
  </si>
  <si>
    <t>JBT02-05162017-1</t>
  </si>
  <si>
    <t>JBT02-05232017-NS</t>
  </si>
  <si>
    <t>JBT02-05302017-1</t>
  </si>
  <si>
    <t>JBT02-06072017-1</t>
  </si>
  <si>
    <t>JBT02-06132017-1</t>
  </si>
  <si>
    <t>JBT02-06222017-1</t>
  </si>
  <si>
    <t>JBT02-06262017-1</t>
  </si>
  <si>
    <t>JBT02-06262017-2</t>
  </si>
  <si>
    <t>JBT02-06262017-3</t>
  </si>
  <si>
    <t>JBT02-06262017-4</t>
  </si>
  <si>
    <t>JBT02-07112017-1</t>
  </si>
  <si>
    <t>JBT02-07052017-1+2</t>
  </si>
  <si>
    <t>JBT02-07112017-2</t>
  </si>
  <si>
    <t>JBT02-07182017-1</t>
  </si>
  <si>
    <t>JBT02-07262017-1</t>
  </si>
  <si>
    <t>JBT02-08012017-1</t>
  </si>
  <si>
    <t>JBT05-05022017-1</t>
  </si>
  <si>
    <t>JBT05</t>
  </si>
  <si>
    <t>JBT05-05092017-1</t>
  </si>
  <si>
    <t>JBT05-05162017-1</t>
  </si>
  <si>
    <t>JBT05-05232017-1</t>
  </si>
  <si>
    <t>JBT05-05302017-1</t>
  </si>
  <si>
    <t>JBT05-06062017-1+2</t>
  </si>
  <si>
    <t>JBT05-06132017-1+3</t>
  </si>
  <si>
    <t>JBT05-06162017-1</t>
  </si>
  <si>
    <t>JBT05-06222017-1</t>
  </si>
  <si>
    <t>JBT05-06272017-1+2</t>
  </si>
  <si>
    <t>JBT05-06272017-3+4</t>
  </si>
  <si>
    <t>JBT05-06302017-1</t>
  </si>
  <si>
    <t>JBT05-06302017-2</t>
  </si>
  <si>
    <t>JBT05-06302017-3</t>
  </si>
  <si>
    <t>JBT05-07052017-1</t>
  </si>
  <si>
    <t>JBT05-07112017-1+2</t>
  </si>
  <si>
    <t>JBT05-07182017-1</t>
  </si>
  <si>
    <t>JBT05-07262017-1</t>
  </si>
  <si>
    <t>JBT05-08012017-1</t>
  </si>
  <si>
    <t>JBT06-05022017-1</t>
  </si>
  <si>
    <t>JBT06</t>
  </si>
  <si>
    <t>JBT06-05092017-1</t>
  </si>
  <si>
    <t>JBT06-05092017-2</t>
  </si>
  <si>
    <t>JBT06-05162017-1</t>
  </si>
  <si>
    <t>JBT06-05232017-1</t>
  </si>
  <si>
    <t>JBT06-05302017-1</t>
  </si>
  <si>
    <t>JBT06-06072017-1</t>
  </si>
  <si>
    <t>JBT06-06132017-1</t>
  </si>
  <si>
    <t>JBT06-06222017-1</t>
  </si>
  <si>
    <t>JBT06-06272017-1</t>
  </si>
  <si>
    <t>JBT06-06272017-2</t>
  </si>
  <si>
    <t>JBT06-06272017-3</t>
  </si>
  <si>
    <t>JBT06-06272017-4</t>
  </si>
  <si>
    <t>JBT06-06302017-1+2+3+4</t>
  </si>
  <si>
    <t>JBT06-07052017-1</t>
  </si>
  <si>
    <t>JBT06-07112017-1+2</t>
  </si>
  <si>
    <t>JBT06-07182017-1</t>
  </si>
  <si>
    <t>JBT06-07262017-1</t>
  </si>
  <si>
    <t>JBT06-07302017-INT</t>
  </si>
  <si>
    <t>JBT11-05022017-1</t>
  </si>
  <si>
    <t>JBT11</t>
  </si>
  <si>
    <t>JBT11-05092017-1</t>
  </si>
  <si>
    <t>JBT11-05092017-2</t>
  </si>
  <si>
    <t>JBT11-05162017-1</t>
  </si>
  <si>
    <t>JBT11-05232017-1</t>
  </si>
  <si>
    <t>JBT11-05302017-1</t>
  </si>
  <si>
    <t>JBT11-06072017-1</t>
  </si>
  <si>
    <t>JBT11-06132017-1</t>
  </si>
  <si>
    <t>JBT11-06222017-1</t>
  </si>
  <si>
    <t>JBT11-06272017-1</t>
  </si>
  <si>
    <t>JBT11-06272017-2</t>
  </si>
  <si>
    <t>JBT11-06272017-3</t>
  </si>
  <si>
    <t>JBT11-06272017-4</t>
  </si>
  <si>
    <t>JBT11-06302017-1</t>
  </si>
  <si>
    <t>JBT11-06302017-2</t>
  </si>
  <si>
    <t>JBT11-06302017-3</t>
  </si>
  <si>
    <t>JBT11-06302017-4</t>
  </si>
  <si>
    <t>JBT11-07052017-1</t>
  </si>
  <si>
    <t>JBT11-07112017-1</t>
  </si>
  <si>
    <t>JBT11-07182017-1+2</t>
  </si>
  <si>
    <t>JBT11-07262017-1</t>
  </si>
  <si>
    <t>JBT11-08012017-1</t>
  </si>
  <si>
    <t>JBT14-05022017-1</t>
  </si>
  <si>
    <t>JBT14</t>
  </si>
  <si>
    <t>JBT14-05092017-1+2</t>
  </si>
  <si>
    <t>JBT14-05162017-1</t>
  </si>
  <si>
    <t>Samples dark brown; TDP filtered at VAEL</t>
  </si>
  <si>
    <t>JBT14-05232017-1</t>
  </si>
  <si>
    <t>JBT14-05302017-1</t>
  </si>
  <si>
    <t>JBT14-06072017-1</t>
  </si>
  <si>
    <t>JBT14-06132017-1+2</t>
  </si>
  <si>
    <t>JBT14-06222017-1</t>
  </si>
  <si>
    <t>JBT14-06272017-1</t>
  </si>
  <si>
    <t>JBT14-06272017-2</t>
  </si>
  <si>
    <t>JBT14-06272017-3</t>
  </si>
  <si>
    <t>JBT14-06302017-1</t>
  </si>
  <si>
    <t>JBT14-06302017-2</t>
  </si>
  <si>
    <t>JBT14-07052017-1</t>
  </si>
  <si>
    <t>JBT14-07052017-2</t>
  </si>
  <si>
    <t>JBT14-07112017-1</t>
  </si>
  <si>
    <t>JBT14-07182017-1+2</t>
  </si>
  <si>
    <t>JBT14-07262017-1</t>
  </si>
  <si>
    <t>JBT14-08012017-1</t>
  </si>
  <si>
    <t>JBT18-05022017-1</t>
  </si>
  <si>
    <t>JBT18</t>
  </si>
  <si>
    <t>JBT18-05092017-1</t>
  </si>
  <si>
    <t>JBT18-05092017-2</t>
  </si>
  <si>
    <t>JBT18-05092017-3</t>
  </si>
  <si>
    <t>JBT18-05092017-4</t>
  </si>
  <si>
    <t>JBT18-05162017-1</t>
  </si>
  <si>
    <t>JBT18-05232017-1</t>
  </si>
  <si>
    <t>JBT18-05302017-1</t>
  </si>
  <si>
    <t>JBT18-06062017-1</t>
  </si>
  <si>
    <t>JBT18-06132017-1</t>
  </si>
  <si>
    <t>JBT18-06222017-1</t>
  </si>
  <si>
    <t>Lab broke TDP sample vial</t>
  </si>
  <si>
    <t>JBT18-06302017-1</t>
  </si>
  <si>
    <t>JBT18-06302017-2</t>
  </si>
  <si>
    <t>JBT18-06302017-3</t>
  </si>
  <si>
    <t>JBT18-06302017-4</t>
  </si>
  <si>
    <t>JBT18-07052017-1+2+3+4</t>
  </si>
  <si>
    <t>JBT18-07112017-1</t>
  </si>
  <si>
    <t>JBT18-07182017-1</t>
  </si>
  <si>
    <t>JBT18-07262017-1</t>
  </si>
  <si>
    <t>JBT18-08012017-1</t>
  </si>
  <si>
    <t>JBT19-05022017-1</t>
  </si>
  <si>
    <t>JBT19</t>
  </si>
  <si>
    <t>JBT19-05092017-1</t>
  </si>
  <si>
    <t>JBT19-05092017-2</t>
  </si>
  <si>
    <t>JBT19-05092017-3+4</t>
  </si>
  <si>
    <t>JBT19-05162017-1</t>
  </si>
  <si>
    <t>JBT19-05232017-1</t>
  </si>
  <si>
    <t>JBT19-05302017-1</t>
  </si>
  <si>
    <t>JBT19-06132017-1</t>
  </si>
  <si>
    <t>JBT19-06222017-1</t>
  </si>
  <si>
    <t>JBT19-06302017-1</t>
  </si>
  <si>
    <t>JBT19-06302017-2</t>
  </si>
  <si>
    <t>JBT19-06302017-3+4</t>
  </si>
  <si>
    <t>JBT19-07052017-1+2+3+4</t>
  </si>
  <si>
    <t>JBT19-07112017-1</t>
  </si>
  <si>
    <t>JBT19-07182017-1+2</t>
  </si>
  <si>
    <t>JBT19-07262017-1</t>
  </si>
  <si>
    <t>JBT19-08012017-1</t>
  </si>
  <si>
    <t>JBT13-05022017-1</t>
  </si>
  <si>
    <t>JBT13</t>
  </si>
  <si>
    <t>JBT13-05092017-1+2</t>
  </si>
  <si>
    <t>JBT13-05162017-1</t>
  </si>
  <si>
    <t>TDP vial lost in transit; samples dark brown</t>
  </si>
  <si>
    <t>JBT13-05232017-1</t>
  </si>
  <si>
    <t>JBT13-05302017-1</t>
  </si>
  <si>
    <t>Sample is cloudy; lots of sediment</t>
  </si>
  <si>
    <t>JBT13-06072017-1</t>
  </si>
  <si>
    <t>JBT13-06132017-1</t>
  </si>
  <si>
    <t>JBT13-06222017-1</t>
  </si>
  <si>
    <t>JBT13-06272017-1</t>
  </si>
  <si>
    <t>JBT13-06272017-2</t>
  </si>
  <si>
    <t>JBT13-07052017-1</t>
  </si>
  <si>
    <t>JBT13-07052017-2</t>
  </si>
  <si>
    <t>JBT13-07112017-1</t>
  </si>
  <si>
    <t>JBT13-07182017-1</t>
  </si>
  <si>
    <t>JBT13-07262017-1</t>
  </si>
  <si>
    <t>comments</t>
  </si>
  <si>
    <t>ditch flooded</t>
  </si>
  <si>
    <t>4/25/17 evidence of manure spreading</t>
  </si>
  <si>
    <t>manure applied 5/10/17</t>
  </si>
  <si>
    <t>manure spread 5/10/17</t>
  </si>
  <si>
    <t>manual add of carboys 1 and 2+3</t>
  </si>
  <si>
    <t>Site</t>
  </si>
  <si>
    <t>Week</t>
  </si>
  <si>
    <t>Start</t>
  </si>
  <si>
    <t>End</t>
  </si>
  <si>
    <t>note</t>
  </si>
  <si>
    <t>TP</t>
  </si>
  <si>
    <t>TDP</t>
  </si>
  <si>
    <t>TN</t>
  </si>
  <si>
    <t>FLOW</t>
  </si>
  <si>
    <t>manual add of carboys 1+2+3</t>
  </si>
  <si>
    <t>manual add of carboys 1 and carboys 2+3</t>
  </si>
  <si>
    <t xml:space="preserve"> </t>
  </si>
  <si>
    <t>JBT01-06272017-1+2+3</t>
  </si>
  <si>
    <t>JBT01-07052017-1+2+3</t>
  </si>
  <si>
    <t>JBT02-06262017-1+2+3+4</t>
  </si>
  <si>
    <t>JBT02-06302017-INT+1+2</t>
  </si>
  <si>
    <t>manual  add of carboys 1+2 and carboy int.</t>
  </si>
  <si>
    <t>JBT02-07112017-1+2</t>
  </si>
  <si>
    <t>manual add of carboys 1+2</t>
  </si>
  <si>
    <t>JBT02-05092017-1+2+3</t>
  </si>
  <si>
    <t>manual add of loads on either side of a gap. Gap runs 6/16 tp 6/20.</t>
  </si>
  <si>
    <t>JBT05-06272017-1+2+3+4</t>
  </si>
  <si>
    <t>manual add of carboys 1+2 and 3+4. missing load from 6/24 to 6/27</t>
  </si>
  <si>
    <t>manual add of carboys 1+2+3 and 1</t>
  </si>
  <si>
    <t>JBT06-06272017-1+2+3+4</t>
  </si>
  <si>
    <t>manual add of carboys 1+2+3+4. missing load from 6/23 to 6/27</t>
  </si>
  <si>
    <t>manual add of carboys 1+2+3+4 and AVG and 1.</t>
  </si>
  <si>
    <t>manual add of carboy 1+2</t>
  </si>
  <si>
    <t>manual add of carboys 1+2+3+4. missing load from 6/24 to 6/27</t>
  </si>
  <si>
    <t>manual add of carboys 1+2+3+4+1 from following week. missing load from 6/29 to 6/30</t>
  </si>
  <si>
    <t>JBT14-06272017-1+2+3</t>
  </si>
  <si>
    <t>manual add of carboys 1+2+3. missing load from 6/25 to 6/27.</t>
  </si>
  <si>
    <t>JBT14-06302017-1+2+1+2</t>
  </si>
  <si>
    <t>manual add of carboys 1+2 and 1+2</t>
  </si>
  <si>
    <t>manual add of carboy 1+2+3+4. load missing form 5/7-5/9</t>
  </si>
  <si>
    <t>JBT18-06302017-1+2+3+4</t>
  </si>
  <si>
    <t>Manually reversed TDP and TP lab result</t>
  </si>
  <si>
    <t>SampleID</t>
  </si>
  <si>
    <t>LabID</t>
  </si>
  <si>
    <t>Removed Flow</t>
  </si>
  <si>
    <t>Removed TP</t>
  </si>
  <si>
    <t>Removed TDP</t>
  </si>
  <si>
    <t>Removed TN</t>
  </si>
  <si>
    <t>interpolation</t>
  </si>
  <si>
    <t>manial add of carbos 1+2+3+4. ends 6/25 missing load 6/25-6/27</t>
  </si>
  <si>
    <t>Site ID</t>
  </si>
  <si>
    <t>need to break flow down further than sample gap period specified</t>
  </si>
  <si>
    <t>TDP missing</t>
  </si>
  <si>
    <t>manual add of carboy 1, 2 and 3+4. load missing form 5/7-5/9</t>
  </si>
  <si>
    <t>JBT19-06062017-AVG</t>
  </si>
  <si>
    <t>AVG</t>
  </si>
  <si>
    <t>JBT19-06302017-1+2+3+4</t>
  </si>
  <si>
    <t>manual add of carboy 1, 2, and carboy 3+4. ends 6/26 instead of 6/27. missing 6/26 to 6/27 load</t>
  </si>
  <si>
    <t>starts 6/30 isntead of 6/27. missing 6/26 to 6/30 load</t>
  </si>
  <si>
    <t>Missing TDP</t>
  </si>
  <si>
    <t>JBT13-06272017-1+2</t>
  </si>
  <si>
    <t>manual add of carbs 1 +2</t>
  </si>
  <si>
    <t>JBT13-07052017-1+2</t>
  </si>
  <si>
    <t>JBT13-08012017-AVG</t>
  </si>
  <si>
    <t>No TDP, manure spread 5/10</t>
  </si>
  <si>
    <t>Flow</t>
  </si>
  <si>
    <t>Est.Load.BackTransformed</t>
  </si>
  <si>
    <t>Intercept</t>
  </si>
  <si>
    <t>Slope</t>
  </si>
  <si>
    <t>sample ends on 6/24 instead of 6/26. missing 6/24-6/26 load. manual add of carbos 1+2+3+4</t>
  </si>
  <si>
    <t>Parameter</t>
  </si>
  <si>
    <t>R^2</t>
  </si>
  <si>
    <t>P-value</t>
  </si>
  <si>
    <t>Log10(flow)</t>
  </si>
  <si>
    <t>Est.Log10Load</t>
  </si>
  <si>
    <t>Notes</t>
  </si>
  <si>
    <t>Flow%</t>
  </si>
  <si>
    <t>JBT02-06262017-NS</t>
  </si>
  <si>
    <t>JBT02-06302017-INT</t>
  </si>
  <si>
    <t>Adj R^2</t>
  </si>
  <si>
    <t>JBT05-06202017-AVG</t>
  </si>
  <si>
    <t>JBT05-06272017-NS</t>
  </si>
  <si>
    <t>Shaprio Wilkes not significant for normality test but visual inspection of distribution not much improved by transformation</t>
  </si>
  <si>
    <t>Shaprio Wilkes significant for normality test and visual inspection of distribution not much improved by transformation. Still skewed.</t>
  </si>
  <si>
    <t>JBT06-06272017-NS</t>
  </si>
  <si>
    <t>JBT06-06302017-AVG</t>
  </si>
  <si>
    <t>JBT11-06272017-NS</t>
  </si>
  <si>
    <t>JBT11-06302017-NS</t>
  </si>
  <si>
    <t>JBT14-05022017-NS</t>
  </si>
  <si>
    <t>JBT14-06272017-NS</t>
  </si>
  <si>
    <t>effects of manure still evident</t>
  </si>
  <si>
    <t>starts 6/30, missing load from 6/27 to 6/30</t>
  </si>
  <si>
    <t>JBT18-05092017-NS</t>
  </si>
  <si>
    <t>JBT18-06302017-NS</t>
  </si>
  <si>
    <t>JBT19-05092017-NS</t>
  </si>
  <si>
    <t>JBT19-06302017-NS</t>
  </si>
  <si>
    <t>JBT01-04182017-INT</t>
  </si>
  <si>
    <t>TP Concentration AVG</t>
  </si>
  <si>
    <t>TDP Concentration AVG</t>
  </si>
  <si>
    <t>Load AVG</t>
  </si>
  <si>
    <t>lowest bounding concentration to load</t>
  </si>
  <si>
    <t>highest bounding concentration to load</t>
  </si>
  <si>
    <t>bounding avg to load</t>
  </si>
  <si>
    <t>est load as concentration</t>
  </si>
  <si>
    <t>Selection Notes</t>
  </si>
  <si>
    <t>flow during this gap was estimateed via JBT14. Bounding conditions not so different, better to use average</t>
  </si>
  <si>
    <t>gap is middle section of falling limb of hydrograph. Would expect estimate to be higher than lower bounding value but it isn't. Using average bounds as a result.</t>
  </si>
  <si>
    <t>gap is peak and falling limb of hydrograph. Would expect estimate to be higher than lower bounding value but it isn't. Using average bounds as a result. Average contains rising limb of one storm and peak of subsequent storm.</t>
  </si>
  <si>
    <t>Bounding conditions are similar to gap. Would expect estimate to be higher than lower bounding value but it isn't. Using average bounds as a result.</t>
  </si>
  <si>
    <t>Bounding conditions extremely dissimalr to gap (i.e. sudden peak) using loadvflow estimate as a result</t>
  </si>
  <si>
    <t>Bounding conditions extremely dissimalr to gap (i.e. very little peal bounded by big flows) using loadvflow estimate as a result</t>
  </si>
  <si>
    <t>Gap is middle peak bounded by two slightly higher peaks. Bounds are falling limb and peak of one storm and rising limb and peak of another storm. Would expect estimate to be higher than lower bounding value but it isn't. Using average bounds as a result.</t>
  </si>
  <si>
    <t>Bounding conditions dissimilar. Gap estimate close to higher bounding value which contains rising limb. Used estimate</t>
  </si>
  <si>
    <t>Bounding conditions dissimilar. Small peak bounded by big falling limb and baseflow. Gap estimate is lower than falling limb and higher than baseflow. Used estimate.</t>
  </si>
  <si>
    <t>Bounding conditions dissimilar. Used estimate.</t>
  </si>
  <si>
    <t>bounding values extremely different but gap contains peak and estimate is lower than baseflow bounding values. Therefore cannot use estimate.</t>
  </si>
  <si>
    <t>bounding conditions dissimilar. Gap on falling limb including peak. Estimate was higher than lower bounding value. Used estimate.</t>
  </si>
  <si>
    <t>used avg of bouding values as estimate is lower than both bounding values despite gap having much greater flow.</t>
  </si>
  <si>
    <t>No significant relationship, cannot use regression. Broken TDP associated with sample of almost pure manure. Pre and post TDP extremely different due to manure application (35 vs 3000).TP concentration value ~35000. TP/TDP ratio during time of very elevated values due to manure application are consistently ~0.7. Applied this ratio to TP of same sample to estimate TDP concentration.</t>
  </si>
  <si>
    <t>JBT01-11012017-3</t>
  </si>
  <si>
    <t>Bounding conditions dissimilar. Have TP value and TDP estimate seems too low. Subsequent sample has event like missing week event. Used TP/TDP ratio of that week to estimate missing week (0.18*360)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</si>
</sst>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rgb="FFFF0000"/>
      <name val="Calibri"/>
      <family val="2"/>
      <scheme val="minor"/>
    </font>
    <font>
      <sz val="11"/>
      <color rgb="FF000000"/>
      <name val="Calibri"/>
      <family val="2"/>
    </font>
    <font>
      <b/>
      <sz val="11"/>
      <color rgb="FF000000"/>
      <name val="Calibri"/>
      <family val="2"/>
    </font>
    <font>
      <sz val="11"/>
      <color rgb="FF000000"/>
      <name val="Calibri"/>
      <family val="2"/>
    </font>
    <font>
      <sz val="11"/>
      <color rgb="FFFF0000"/>
      <name val="Calibri"/>
      <family val="2"/>
    </font>
    <font>
      <sz val="11"/>
      <color rgb="FF00B050"/>
      <name val="Calibri"/>
      <family val="2"/>
    </font>
    <font>
      <sz val="11"/>
      <color rgb="FF00B050"/>
      <name val="Calibri"/>
      <family val="2"/>
      <scheme val="minor"/>
    </font>
    <font>
      <sz val="10"/>
      <color rgb="FF000000"/>
      <name val="Lucida Console"/>
      <family val="3"/>
    </font>
  </fonts>
  <fills count="4">
    <fill>
      <patternFill patternType="none"/>
    </fill>
    <fill>
      <patternFill patternType="gray125"/>
    </fill>
    <fill>
      <patternFill patternType="solid">
        <fgColor rgb="FFC0C0C0"/>
        <bgColor rgb="FFC0C0C0"/>
      </patternFill>
    </fill>
    <fill>
      <patternFill patternType="solid">
        <fgColor rgb="FFFFFF00"/>
        <bgColor indexed="64"/>
      </patternFill>
    </fill>
  </fills>
  <borders count="4">
    <border>
      <left/>
      <right/>
      <top/>
      <bottom/>
      <diagonal/>
    </border>
    <border>
      <left style="thin">
        <color rgb="FFD0D7E5"/>
      </left>
      <right style="thin">
        <color rgb="FFD0D7E5"/>
      </right>
      <top style="thin">
        <color rgb="FFD0D7E5"/>
      </top>
      <bottom style="thin">
        <color rgb="FFD0D7E5"/>
      </bottom>
      <diagonal/>
    </border>
    <border>
      <left style="thin">
        <color auto="1"/>
      </left>
      <right style="thin">
        <color auto="1"/>
      </right>
      <top style="thin">
        <color auto="1"/>
      </top>
      <bottom style="thin">
        <color auto="1"/>
      </bottom>
      <diagonal/>
    </border>
    <border>
      <left style="thin">
        <color rgb="FFD0D7E5"/>
      </left>
      <right style="thin">
        <color rgb="FFD0D7E5"/>
      </right>
      <top/>
      <bottom/>
      <diagonal/>
    </border>
  </borders>
  <cellStyleXfs count="1">
    <xf numFmtId="0" fontId="0" fillId="0" borderId="0"/>
  </cellStyleXfs>
  <cellXfs count="38">
    <xf numFmtId="0" fontId="0" fillId="0" borderId="0" xfId="0"/>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right" vertical="center" wrapText="1"/>
    </xf>
    <xf numFmtId="0" fontId="3" fillId="2" borderId="2" xfId="0" applyFont="1" applyFill="1" applyBorder="1" applyAlignment="1" applyProtection="1">
      <alignment horizontal="center" vertical="center"/>
    </xf>
    <xf numFmtId="0" fontId="0" fillId="3" borderId="0" xfId="0" applyFill="1"/>
    <xf numFmtId="0" fontId="2" fillId="3" borderId="1" xfId="0" applyFont="1" applyFill="1" applyBorder="1" applyAlignment="1" applyProtection="1">
      <alignment vertical="center" wrapText="1"/>
    </xf>
    <xf numFmtId="0" fontId="2" fillId="3" borderId="1" xfId="0" applyFont="1" applyFill="1" applyBorder="1" applyAlignment="1" applyProtection="1">
      <alignment horizontal="right" vertical="center" wrapText="1"/>
    </xf>
    <xf numFmtId="16" fontId="0" fillId="0" borderId="0" xfId="0" applyNumberFormat="1"/>
    <xf numFmtId="22" fontId="0" fillId="0" borderId="0" xfId="0" applyNumberFormat="1"/>
    <xf numFmtId="0" fontId="4" fillId="0" borderId="1" xfId="0" applyFont="1" applyFill="1" applyBorder="1" applyAlignment="1" applyProtection="1">
      <alignment horizontal="right" vertical="center" wrapText="1"/>
    </xf>
    <xf numFmtId="2" fontId="0" fillId="0" borderId="0" xfId="0" applyNumberFormat="1"/>
    <xf numFmtId="0" fontId="4" fillId="0" borderId="1" xfId="0" applyFont="1" applyFill="1" applyBorder="1" applyAlignment="1" applyProtection="1">
      <alignment vertical="center" wrapText="1"/>
    </xf>
    <xf numFmtId="22" fontId="0" fillId="0" borderId="0" xfId="0" applyNumberFormat="1" applyFill="1"/>
    <xf numFmtId="0" fontId="5" fillId="0" borderId="3" xfId="0" applyFont="1" applyFill="1" applyBorder="1" applyAlignment="1" applyProtection="1">
      <alignment horizontal="right" vertical="center" wrapText="1"/>
    </xf>
    <xf numFmtId="0" fontId="1" fillId="0" borderId="0" xfId="0" applyFont="1"/>
    <xf numFmtId="0" fontId="5" fillId="0" borderId="1" xfId="0" applyFont="1" applyFill="1" applyBorder="1" applyAlignment="1" applyProtection="1">
      <alignment horizontal="right" vertical="center" wrapText="1"/>
    </xf>
    <xf numFmtId="16" fontId="0" fillId="3" borderId="0" xfId="0" applyNumberFormat="1" applyFill="1"/>
    <xf numFmtId="22" fontId="0" fillId="3" borderId="0" xfId="0" applyNumberFormat="1" applyFill="1"/>
    <xf numFmtId="0" fontId="4" fillId="3" borderId="1" xfId="0" applyFont="1" applyFill="1" applyBorder="1" applyAlignment="1" applyProtection="1">
      <alignment horizontal="right" vertical="center" wrapText="1"/>
    </xf>
    <xf numFmtId="0" fontId="0" fillId="0" borderId="0" xfId="0" applyFill="1"/>
    <xf numFmtId="16" fontId="0" fillId="0" borderId="0" xfId="0" applyNumberFormat="1" applyFill="1"/>
    <xf numFmtId="0" fontId="6" fillId="0" borderId="1" xfId="0" applyFont="1" applyFill="1" applyBorder="1" applyAlignment="1" applyProtection="1">
      <alignment horizontal="right" vertical="center" wrapText="1"/>
    </xf>
    <xf numFmtId="0" fontId="1" fillId="0" borderId="0" xfId="0" applyFont="1" applyFill="1"/>
    <xf numFmtId="14" fontId="0" fillId="0" borderId="0" xfId="0" applyNumberFormat="1"/>
    <xf numFmtId="14" fontId="0" fillId="3" borderId="0" xfId="0" applyNumberFormat="1" applyFill="1"/>
    <xf numFmtId="14" fontId="0" fillId="0" borderId="0" xfId="0" applyNumberFormat="1" applyFill="1"/>
    <xf numFmtId="0" fontId="7" fillId="0" borderId="0" xfId="0" applyFont="1" applyFill="1"/>
    <xf numFmtId="0" fontId="7" fillId="0" borderId="0" xfId="0" applyFont="1"/>
    <xf numFmtId="0" fontId="5" fillId="3" borderId="3" xfId="0" applyFont="1" applyFill="1" applyBorder="1" applyAlignment="1" applyProtection="1">
      <alignment horizontal="right" vertical="center" wrapText="1"/>
    </xf>
    <xf numFmtId="0" fontId="4" fillId="0" borderId="0" xfId="0" applyFont="1" applyFill="1" applyBorder="1" applyAlignment="1" applyProtection="1">
      <alignment horizontal="right" vertical="center" wrapText="1"/>
    </xf>
    <xf numFmtId="0" fontId="8" fillId="0" borderId="0" xfId="0" applyFont="1" applyAlignment="1">
      <alignment vertical="center"/>
    </xf>
    <xf numFmtId="11" fontId="0" fillId="0" borderId="0" xfId="0" applyNumberFormat="1"/>
    <xf numFmtId="11" fontId="8" fillId="0" borderId="0" xfId="0" applyNumberFormat="1" applyFont="1" applyAlignment="1">
      <alignment vertical="center"/>
    </xf>
    <xf numFmtId="2" fontId="2" fillId="0" borderId="1" xfId="0" applyNumberFormat="1" applyFont="1" applyFill="1" applyBorder="1" applyAlignment="1" applyProtection="1">
      <alignment vertical="center" wrapText="1"/>
    </xf>
    <xf numFmtId="0" fontId="4" fillId="0" borderId="0" xfId="0" applyFont="1" applyFill="1" applyBorder="1" applyAlignment="1" applyProtection="1">
      <alignment vertical="center" wrapText="1"/>
    </xf>
    <xf numFmtId="2" fontId="0" fillId="0" borderId="0" xfId="0" applyNumberFormat="1" applyFill="1" applyBorder="1"/>
    <xf numFmtId="0" fontId="0" fillId="0" borderId="0" xfId="0" applyFont="1"/>
    <xf numFmtId="0" fontId="1" fillId="3"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2" Type="http://schemas.microsoft.com/office/2011/relationships/chartColorStyle" Target="colors103.xml"/><Relationship Id="rId1" Type="http://schemas.microsoft.com/office/2011/relationships/chartStyle" Target="style103.xml"/></Relationships>
</file>

<file path=xl/charts/_rels/chart104.xml.rels><?xml version="1.0" encoding="UTF-8" standalone="yes"?>
<Relationships xmlns="http://schemas.openxmlformats.org/package/2006/relationships"><Relationship Id="rId2" Type="http://schemas.microsoft.com/office/2011/relationships/chartColorStyle" Target="colors104.xml"/><Relationship Id="rId1" Type="http://schemas.microsoft.com/office/2011/relationships/chartStyle" Target="style104.xml"/></Relationships>
</file>

<file path=xl/charts/_rels/chart105.xml.rels><?xml version="1.0" encoding="UTF-8" standalone="yes"?>
<Relationships xmlns="http://schemas.openxmlformats.org/package/2006/relationships"><Relationship Id="rId2" Type="http://schemas.microsoft.com/office/2011/relationships/chartColorStyle" Target="colors105.xml"/><Relationship Id="rId1" Type="http://schemas.microsoft.com/office/2011/relationships/chartStyle" Target="style105.xml"/></Relationships>
</file>

<file path=xl/charts/_rels/chart106.xml.rels><?xml version="1.0" encoding="UTF-8" standalone="yes"?>
<Relationships xmlns="http://schemas.openxmlformats.org/package/2006/relationships"><Relationship Id="rId2" Type="http://schemas.microsoft.com/office/2011/relationships/chartColorStyle" Target="colors106.xml"/><Relationship Id="rId1" Type="http://schemas.microsoft.com/office/2011/relationships/chartStyle" Target="style106.xml"/></Relationships>
</file>

<file path=xl/charts/_rels/chart107.xml.rels><?xml version="1.0" encoding="UTF-8" standalone="yes"?>
<Relationships xmlns="http://schemas.openxmlformats.org/package/2006/relationships"><Relationship Id="rId2" Type="http://schemas.microsoft.com/office/2011/relationships/chartColorStyle" Target="colors107.xml"/><Relationship Id="rId1" Type="http://schemas.microsoft.com/office/2011/relationships/chartStyle" Target="style107.xml"/></Relationships>
</file>

<file path=xl/charts/_rels/chart108.xml.rels><?xml version="1.0" encoding="UTF-8" standalone="yes"?>
<Relationships xmlns="http://schemas.openxmlformats.org/package/2006/relationships"><Relationship Id="rId2" Type="http://schemas.microsoft.com/office/2011/relationships/chartColorStyle" Target="colors108.xml"/><Relationship Id="rId1" Type="http://schemas.microsoft.com/office/2011/relationships/chartStyle" Target="style108.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2816294838145232"/>
                  <c:y val="-2.280001458151064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'JBT02'!$C$2:$C$20</c:f>
              <c:numCache>
                <c:formatCode>General</c:formatCode>
                <c:ptCount val="19"/>
                <c:pt idx="0">
                  <c:v>142800</c:v>
                </c:pt>
                <c:pt idx="1">
                  <c:v>63500</c:v>
                </c:pt>
                <c:pt idx="2">
                  <c:v>60200</c:v>
                </c:pt>
                <c:pt idx="3">
                  <c:v>43800</c:v>
                </c:pt>
                <c:pt idx="4">
                  <c:v>35200</c:v>
                </c:pt>
                <c:pt idx="5">
                  <c:v>32300</c:v>
                </c:pt>
                <c:pt idx="6">
                  <c:v>32100</c:v>
                </c:pt>
                <c:pt idx="7">
                  <c:v>18400</c:v>
                </c:pt>
                <c:pt idx="8">
                  <c:v>33000</c:v>
                </c:pt>
                <c:pt idx="9">
                  <c:v>39400</c:v>
                </c:pt>
                <c:pt idx="10">
                  <c:v>39900</c:v>
                </c:pt>
                <c:pt idx="11">
                  <c:v>38600</c:v>
                </c:pt>
                <c:pt idx="12">
                  <c:v>38100</c:v>
                </c:pt>
                <c:pt idx="13">
                  <c:v>42800</c:v>
                </c:pt>
                <c:pt idx="14">
                  <c:v>59500</c:v>
                </c:pt>
                <c:pt idx="15">
                  <c:v>47400</c:v>
                </c:pt>
                <c:pt idx="16">
                  <c:v>50500</c:v>
                </c:pt>
                <c:pt idx="17">
                  <c:v>10200</c:v>
                </c:pt>
                <c:pt idx="18">
                  <c:v>1300</c:v>
                </c:pt>
              </c:numCache>
            </c:numRef>
          </c:xVal>
          <c:yVal>
            <c:numRef>
              <c:f>'JBT02'!$G$2:$G$20</c:f>
              <c:numCache>
                <c:formatCode>General</c:formatCode>
                <c:ptCount val="19"/>
                <c:pt idx="0">
                  <c:v>0.114954</c:v>
                </c:pt>
                <c:pt idx="1">
                  <c:v>3.71475E-2</c:v>
                </c:pt>
                <c:pt idx="2">
                  <c:v>5.2253599999999997E-2</c:v>
                </c:pt>
                <c:pt idx="3">
                  <c:v>3.8018400000000001E-2</c:v>
                </c:pt>
                <c:pt idx="4">
                  <c:v>3.8368E-3</c:v>
                </c:pt>
                <c:pt idx="5">
                  <c:v>2.5355500000000001E-3</c:v>
                </c:pt>
                <c:pt idx="6">
                  <c:v>2.1603299999999998E-3</c:v>
                </c:pt>
                <c:pt idx="7">
                  <c:v>8.832E-4</c:v>
                </c:pt>
                <c:pt idx="8">
                  <c:v>2.9997000000000001E-3</c:v>
                </c:pt>
                <c:pt idx="9">
                  <c:v>5.3978000000000003E-3</c:v>
                </c:pt>
                <c:pt idx="10">
                  <c:v>7.5411000000000002E-3</c:v>
                </c:pt>
                <c:pt idx="11">
                  <c:v>6.1760000000000001E-3</c:v>
                </c:pt>
                <c:pt idx="12">
                  <c:v>1.20015E-2</c:v>
                </c:pt>
                <c:pt idx="13">
                  <c:v>4.3655999999999999E-3</c:v>
                </c:pt>
                <c:pt idx="14">
                  <c:v>1.8028499999999999E-2</c:v>
                </c:pt>
                <c:pt idx="15">
                  <c:v>2.0571599999999999E-2</c:v>
                </c:pt>
                <c:pt idx="16">
                  <c:v>9.4435000000000005E-3</c:v>
                </c:pt>
                <c:pt idx="17">
                  <c:v>7.4562000000000001E-4</c:v>
                </c:pt>
                <c:pt idx="18">
                  <c:v>8.3070000000000003E-5</c:v>
                </c:pt>
              </c:numCache>
            </c:numRef>
          </c:yVal>
          <c:smooth val="0"/>
        </c:ser>
        <c:dLbls>
          <c:showLegendKey val="0"/>
          <c:showVal val="0"/>
          <c:showCatName val="0"/>
          <c:showSerName val="0"/>
          <c:showPercent val="0"/>
          <c:showBubbleSize val="0"/>
        </c:dLbls>
        <c:axId val="723687016"/>
        <c:axId val="723687408"/>
      </c:scatterChart>
      <c:valAx>
        <c:axId val="723687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3687408"/>
        <c:crosses val="autoZero"/>
        <c:crossBetween val="midCat"/>
      </c:valAx>
      <c:valAx>
        <c:axId val="7236874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36870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24435695538057742"/>
                  <c:y val="-0.288371766029246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JBT02_SameDuration!$G$2:$G$14</c:f>
              <c:numCache>
                <c:formatCode>General</c:formatCode>
                <c:ptCount val="13"/>
                <c:pt idx="0">
                  <c:v>167500</c:v>
                </c:pt>
                <c:pt idx="1">
                  <c:v>35200</c:v>
                </c:pt>
                <c:pt idx="3">
                  <c:v>32300</c:v>
                </c:pt>
                <c:pt idx="4">
                  <c:v>32100</c:v>
                </c:pt>
                <c:pt idx="5">
                  <c:v>18400</c:v>
                </c:pt>
                <c:pt idx="6">
                  <c:v>33000</c:v>
                </c:pt>
                <c:pt idx="9">
                  <c:v>106900</c:v>
                </c:pt>
                <c:pt idx="10">
                  <c:v>50500</c:v>
                </c:pt>
                <c:pt idx="11">
                  <c:v>10200</c:v>
                </c:pt>
                <c:pt idx="12">
                  <c:v>1300</c:v>
                </c:pt>
              </c:numCache>
            </c:numRef>
          </c:xVal>
          <c:yVal>
            <c:numRef>
              <c:f>JBT02_SameDuration!$H$2:$H$14</c:f>
              <c:numCache>
                <c:formatCode>General</c:formatCode>
                <c:ptCount val="13"/>
                <c:pt idx="0">
                  <c:v>0.12741949999999999</c:v>
                </c:pt>
                <c:pt idx="1">
                  <c:v>3.8368E-3</c:v>
                </c:pt>
                <c:pt idx="3">
                  <c:v>2.5355500000000001E-3</c:v>
                </c:pt>
                <c:pt idx="4">
                  <c:v>2.1603299999999998E-3</c:v>
                </c:pt>
                <c:pt idx="5">
                  <c:v>8.832E-4</c:v>
                </c:pt>
                <c:pt idx="6">
                  <c:v>2.9997000000000001E-3</c:v>
                </c:pt>
                <c:pt idx="9">
                  <c:v>3.8600099999999998E-2</c:v>
                </c:pt>
                <c:pt idx="10">
                  <c:v>9.4435000000000005E-3</c:v>
                </c:pt>
                <c:pt idx="11">
                  <c:v>7.4562000000000001E-4</c:v>
                </c:pt>
                <c:pt idx="12">
                  <c:v>8.3070000000000003E-5</c:v>
                </c:pt>
              </c:numCache>
            </c:numRef>
          </c:yVal>
          <c:smooth val="0"/>
        </c:ser>
        <c:dLbls>
          <c:showLegendKey val="0"/>
          <c:showVal val="0"/>
          <c:showCatName val="0"/>
          <c:showSerName val="0"/>
          <c:showPercent val="0"/>
          <c:showBubbleSize val="0"/>
        </c:dLbls>
        <c:axId val="597554672"/>
        <c:axId val="597555064"/>
      </c:scatterChart>
      <c:valAx>
        <c:axId val="5975546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7555064"/>
        <c:crosses val="autoZero"/>
        <c:crossBetween val="midCat"/>
      </c:valAx>
      <c:valAx>
        <c:axId val="5975550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75546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'JBT13'!$H$1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6626137357830268"/>
                  <c:y val="-1.392105398589882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'JBT13'!$D$2:$D$17</c:f>
              <c:numCache>
                <c:formatCode>General</c:formatCode>
                <c:ptCount val="16"/>
                <c:pt idx="0">
                  <c:v>184200</c:v>
                </c:pt>
                <c:pt idx="1">
                  <c:v>275500</c:v>
                </c:pt>
                <c:pt idx="2">
                  <c:v>129100</c:v>
                </c:pt>
                <c:pt idx="3">
                  <c:v>103100</c:v>
                </c:pt>
                <c:pt idx="4">
                  <c:v>60300</c:v>
                </c:pt>
                <c:pt idx="5">
                  <c:v>85100</c:v>
                </c:pt>
                <c:pt idx="6">
                  <c:v>104100</c:v>
                </c:pt>
                <c:pt idx="7">
                  <c:v>70500</c:v>
                </c:pt>
                <c:pt idx="8">
                  <c:v>149000</c:v>
                </c:pt>
                <c:pt idx="9">
                  <c:v>101500</c:v>
                </c:pt>
                <c:pt idx="10">
                  <c:v>148900</c:v>
                </c:pt>
                <c:pt idx="11">
                  <c:v>135100</c:v>
                </c:pt>
                <c:pt idx="12">
                  <c:v>78900</c:v>
                </c:pt>
                <c:pt idx="13">
                  <c:v>146700</c:v>
                </c:pt>
                <c:pt idx="14">
                  <c:v>86500</c:v>
                </c:pt>
                <c:pt idx="15">
                  <c:v>65400</c:v>
                </c:pt>
              </c:numCache>
            </c:numRef>
          </c:xVal>
          <c:yVal>
            <c:numRef>
              <c:f>'JBT13'!$H$2:$H$17</c:f>
              <c:numCache>
                <c:formatCode>General</c:formatCode>
                <c:ptCount val="16"/>
                <c:pt idx="0">
                  <c:v>0.10315199999999999</c:v>
                </c:pt>
                <c:pt idx="1">
                  <c:v>3.3059999999999999E-2</c:v>
                </c:pt>
                <c:pt idx="2">
                  <c:v>4.5565844999999996</c:v>
                </c:pt>
                <c:pt idx="3">
                  <c:v>0.38353199999999998</c:v>
                </c:pt>
                <c:pt idx="4">
                  <c:v>0.17939250000000001</c:v>
                </c:pt>
                <c:pt idx="5">
                  <c:v>0.30508350000000001</c:v>
                </c:pt>
                <c:pt idx="6">
                  <c:v>8.48415E-2</c:v>
                </c:pt>
                <c:pt idx="7">
                  <c:v>6.4296000000000006E-2</c:v>
                </c:pt>
                <c:pt idx="8">
                  <c:v>7.8225000000000003E-2</c:v>
                </c:pt>
                <c:pt idx="9">
                  <c:v>3.9077500000000001E-2</c:v>
                </c:pt>
                <c:pt idx="10">
                  <c:v>4.6456799999999999E-2</c:v>
                </c:pt>
                <c:pt idx="11">
                  <c:v>1.176721E-2</c:v>
                </c:pt>
                <c:pt idx="12">
                  <c:v>2.7615000000000001E-2</c:v>
                </c:pt>
                <c:pt idx="13">
                  <c:v>1.398051E-2</c:v>
                </c:pt>
                <c:pt idx="14">
                  <c:v>1.09855E-2</c:v>
                </c:pt>
                <c:pt idx="15">
                  <c:v>2.1451199999999999E-3</c:v>
                </c:pt>
              </c:numCache>
            </c:numRef>
          </c:yVal>
          <c:smooth val="0"/>
        </c:ser>
        <c:dLbls>
          <c:showLegendKey val="0"/>
          <c:showVal val="0"/>
          <c:showCatName val="0"/>
          <c:showSerName val="0"/>
          <c:showPercent val="0"/>
          <c:showBubbleSize val="0"/>
        </c:dLbls>
        <c:axId val="634745608"/>
        <c:axId val="634746000"/>
      </c:scatterChart>
      <c:valAx>
        <c:axId val="6347456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6000"/>
        <c:crosses val="autoZero"/>
        <c:crossBetween val="midCat"/>
      </c:valAx>
      <c:valAx>
        <c:axId val="6347460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56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'JBT13'!$I$1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5301773461461566"/>
                  <c:y val="5.035569105691056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'JBT13'!$D$2:$D$17</c:f>
              <c:numCache>
                <c:formatCode>General</c:formatCode>
                <c:ptCount val="16"/>
                <c:pt idx="0">
                  <c:v>184200</c:v>
                </c:pt>
                <c:pt idx="1">
                  <c:v>275500</c:v>
                </c:pt>
                <c:pt idx="2">
                  <c:v>129100</c:v>
                </c:pt>
                <c:pt idx="3">
                  <c:v>103100</c:v>
                </c:pt>
                <c:pt idx="4">
                  <c:v>60300</c:v>
                </c:pt>
                <c:pt idx="5">
                  <c:v>85100</c:v>
                </c:pt>
                <c:pt idx="6">
                  <c:v>104100</c:v>
                </c:pt>
                <c:pt idx="7">
                  <c:v>70500</c:v>
                </c:pt>
                <c:pt idx="8">
                  <c:v>149000</c:v>
                </c:pt>
                <c:pt idx="9">
                  <c:v>101500</c:v>
                </c:pt>
                <c:pt idx="10">
                  <c:v>148900</c:v>
                </c:pt>
                <c:pt idx="11">
                  <c:v>135100</c:v>
                </c:pt>
                <c:pt idx="12">
                  <c:v>78900</c:v>
                </c:pt>
                <c:pt idx="13">
                  <c:v>146700</c:v>
                </c:pt>
                <c:pt idx="14">
                  <c:v>86500</c:v>
                </c:pt>
                <c:pt idx="15">
                  <c:v>65400</c:v>
                </c:pt>
              </c:numCache>
            </c:numRef>
          </c:xVal>
          <c:yVal>
            <c:numRef>
              <c:f>'JBT13'!$I$2:$I$17</c:f>
              <c:numCache>
                <c:formatCode>General</c:formatCode>
                <c:ptCount val="16"/>
                <c:pt idx="0">
                  <c:v>7.5706200000000001E-3</c:v>
                </c:pt>
                <c:pt idx="1">
                  <c:v>9.8353499999999996E-3</c:v>
                </c:pt>
                <c:pt idx="3">
                  <c:v>0.26032749999999999</c:v>
                </c:pt>
                <c:pt idx="4">
                  <c:v>0.124821</c:v>
                </c:pt>
                <c:pt idx="5">
                  <c:v>0.19062399999999999</c:v>
                </c:pt>
                <c:pt idx="6">
                  <c:v>5.1008999999999999E-2</c:v>
                </c:pt>
                <c:pt idx="7">
                  <c:v>4.1242500000000001E-2</c:v>
                </c:pt>
                <c:pt idx="8">
                  <c:v>3.2481999999999997E-2</c:v>
                </c:pt>
                <c:pt idx="9">
                  <c:v>1.3905499999999999E-2</c:v>
                </c:pt>
                <c:pt idx="10">
                  <c:v>2.1292700000000001E-2</c:v>
                </c:pt>
                <c:pt idx="11">
                  <c:v>9.5245499999999997E-3</c:v>
                </c:pt>
                <c:pt idx="12">
                  <c:v>1.5069900000000001E-2</c:v>
                </c:pt>
                <c:pt idx="13">
                  <c:v>1.390716E-2</c:v>
                </c:pt>
                <c:pt idx="14">
                  <c:v>1.0207000000000001E-2</c:v>
                </c:pt>
                <c:pt idx="15">
                  <c:v>1.22298E-3</c:v>
                </c:pt>
              </c:numCache>
            </c:numRef>
          </c:yVal>
          <c:smooth val="0"/>
        </c:ser>
        <c:dLbls>
          <c:showLegendKey val="0"/>
          <c:showVal val="0"/>
          <c:showCatName val="0"/>
          <c:showSerName val="0"/>
          <c:showPercent val="0"/>
          <c:showBubbleSize val="0"/>
        </c:dLbls>
        <c:axId val="634746784"/>
        <c:axId val="634747176"/>
      </c:scatterChart>
      <c:valAx>
        <c:axId val="6347467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7176"/>
        <c:crosses val="autoZero"/>
        <c:crossBetween val="midCat"/>
      </c:valAx>
      <c:valAx>
        <c:axId val="6347471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67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'JBT13'!$J$1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2478008302274009"/>
                  <c:y val="-9.437929301390517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'JBT13'!$D$2:$D$17</c:f>
              <c:numCache>
                <c:formatCode>General</c:formatCode>
                <c:ptCount val="16"/>
                <c:pt idx="0">
                  <c:v>184200</c:v>
                </c:pt>
                <c:pt idx="1">
                  <c:v>275500</c:v>
                </c:pt>
                <c:pt idx="2">
                  <c:v>129100</c:v>
                </c:pt>
                <c:pt idx="3">
                  <c:v>103100</c:v>
                </c:pt>
                <c:pt idx="4">
                  <c:v>60300</c:v>
                </c:pt>
                <c:pt idx="5">
                  <c:v>85100</c:v>
                </c:pt>
                <c:pt idx="6">
                  <c:v>104100</c:v>
                </c:pt>
                <c:pt idx="7">
                  <c:v>70500</c:v>
                </c:pt>
                <c:pt idx="8">
                  <c:v>149000</c:v>
                </c:pt>
                <c:pt idx="9">
                  <c:v>101500</c:v>
                </c:pt>
                <c:pt idx="10">
                  <c:v>148900</c:v>
                </c:pt>
                <c:pt idx="11">
                  <c:v>135100</c:v>
                </c:pt>
                <c:pt idx="12">
                  <c:v>78900</c:v>
                </c:pt>
                <c:pt idx="13">
                  <c:v>146700</c:v>
                </c:pt>
                <c:pt idx="14">
                  <c:v>86500</c:v>
                </c:pt>
                <c:pt idx="15">
                  <c:v>65400</c:v>
                </c:pt>
              </c:numCache>
            </c:numRef>
          </c:xVal>
          <c:yVal>
            <c:numRef>
              <c:f>'JBT13'!$J$2:$J$17</c:f>
              <c:numCache>
                <c:formatCode>General</c:formatCode>
                <c:ptCount val="16"/>
                <c:pt idx="0">
                  <c:v>0.96704999999999997</c:v>
                </c:pt>
                <c:pt idx="1">
                  <c:v>1.68055</c:v>
                </c:pt>
                <c:pt idx="2">
                  <c:v>28.041810999999999</c:v>
                </c:pt>
                <c:pt idx="3">
                  <c:v>1.77332</c:v>
                </c:pt>
                <c:pt idx="4">
                  <c:v>0.849024</c:v>
                </c:pt>
                <c:pt idx="5">
                  <c:v>1.6237079999999999</c:v>
                </c:pt>
                <c:pt idx="6">
                  <c:v>0.829677</c:v>
                </c:pt>
                <c:pt idx="7">
                  <c:v>0.63027</c:v>
                </c:pt>
                <c:pt idx="8">
                  <c:v>3.2526700000000002</c:v>
                </c:pt>
                <c:pt idx="9">
                  <c:v>1.290065</c:v>
                </c:pt>
                <c:pt idx="10">
                  <c:v>4.298743</c:v>
                </c:pt>
                <c:pt idx="11">
                  <c:v>1.8954530000000001</c:v>
                </c:pt>
                <c:pt idx="12">
                  <c:v>0.95863500000000001</c:v>
                </c:pt>
                <c:pt idx="13">
                  <c:v>2.4894989999999999</c:v>
                </c:pt>
                <c:pt idx="14">
                  <c:v>0.88229999999999997</c:v>
                </c:pt>
                <c:pt idx="15">
                  <c:v>3.7932E-2</c:v>
                </c:pt>
              </c:numCache>
            </c:numRef>
          </c:yVal>
          <c:smooth val="0"/>
        </c:ser>
        <c:dLbls>
          <c:showLegendKey val="0"/>
          <c:showVal val="0"/>
          <c:showCatName val="0"/>
          <c:showSerName val="0"/>
          <c:showPercent val="0"/>
          <c:showBubbleSize val="0"/>
        </c:dLbls>
        <c:axId val="634747960"/>
        <c:axId val="634748352"/>
      </c:scatterChart>
      <c:valAx>
        <c:axId val="6347479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8352"/>
        <c:crosses val="autoZero"/>
        <c:crossBetween val="midCat"/>
      </c:valAx>
      <c:valAx>
        <c:axId val="6347483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79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JBT13_SameDuration!$G$2:$G$13</c:f>
              <c:numCache>
                <c:formatCode>General</c:formatCode>
                <c:ptCount val="12"/>
                <c:pt idx="0">
                  <c:v>275500</c:v>
                </c:pt>
                <c:pt idx="5">
                  <c:v>104100</c:v>
                </c:pt>
                <c:pt idx="6">
                  <c:v>70500</c:v>
                </c:pt>
                <c:pt idx="7">
                  <c:v>250500</c:v>
                </c:pt>
                <c:pt idx="8">
                  <c:v>284000</c:v>
                </c:pt>
                <c:pt idx="9">
                  <c:v>78900</c:v>
                </c:pt>
                <c:pt idx="10">
                  <c:v>146700</c:v>
                </c:pt>
                <c:pt idx="11">
                  <c:v>86500</c:v>
                </c:pt>
              </c:numCache>
            </c:numRef>
          </c:xVal>
          <c:yVal>
            <c:numRef>
              <c:f>JBT13_SameDuration!$H$2:$H$13</c:f>
              <c:numCache>
                <c:formatCode>General</c:formatCode>
                <c:ptCount val="12"/>
                <c:pt idx="0">
                  <c:v>3.3059999999999999E-2</c:v>
                </c:pt>
                <c:pt idx="5">
                  <c:v>8.48415E-2</c:v>
                </c:pt>
                <c:pt idx="6">
                  <c:v>6.4296000000000006E-2</c:v>
                </c:pt>
                <c:pt idx="7">
                  <c:v>0.1173025</c:v>
                </c:pt>
                <c:pt idx="8">
                  <c:v>5.822401E-2</c:v>
                </c:pt>
                <c:pt idx="9">
                  <c:v>2.7615000000000001E-2</c:v>
                </c:pt>
                <c:pt idx="10">
                  <c:v>1.398051E-2</c:v>
                </c:pt>
                <c:pt idx="11">
                  <c:v>1.09855E-2</c:v>
                </c:pt>
              </c:numCache>
            </c:numRef>
          </c:yVal>
          <c:smooth val="0"/>
        </c:ser>
        <c:dLbls>
          <c:showLegendKey val="0"/>
          <c:showVal val="0"/>
          <c:showCatName val="0"/>
          <c:showSerName val="0"/>
          <c:showPercent val="0"/>
          <c:showBubbleSize val="0"/>
        </c:dLbls>
        <c:axId val="729380672"/>
        <c:axId val="729381064"/>
      </c:scatterChart>
      <c:valAx>
        <c:axId val="7293806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9381064"/>
        <c:crosses val="autoZero"/>
        <c:crossBetween val="midCat"/>
      </c:valAx>
      <c:valAx>
        <c:axId val="7293810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93806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JBT13_SameDuration!$G$2:$G$14</c:f>
              <c:numCache>
                <c:formatCode>General</c:formatCode>
                <c:ptCount val="13"/>
                <c:pt idx="0">
                  <c:v>275500</c:v>
                </c:pt>
                <c:pt idx="5">
                  <c:v>104100</c:v>
                </c:pt>
                <c:pt idx="6">
                  <c:v>70500</c:v>
                </c:pt>
                <c:pt idx="7">
                  <c:v>250500</c:v>
                </c:pt>
                <c:pt idx="8">
                  <c:v>284000</c:v>
                </c:pt>
                <c:pt idx="9">
                  <c:v>78900</c:v>
                </c:pt>
                <c:pt idx="10">
                  <c:v>146700</c:v>
                </c:pt>
                <c:pt idx="11">
                  <c:v>86500</c:v>
                </c:pt>
              </c:numCache>
            </c:numRef>
          </c:xVal>
          <c:yVal>
            <c:numRef>
              <c:f>JBT13_SameDuration!$I$2:$I$14</c:f>
              <c:numCache>
                <c:formatCode>General</c:formatCode>
                <c:ptCount val="13"/>
                <c:pt idx="0">
                  <c:v>9.8353499999999996E-3</c:v>
                </c:pt>
                <c:pt idx="5">
                  <c:v>5.1008999999999999E-2</c:v>
                </c:pt>
                <c:pt idx="6">
                  <c:v>4.1242500000000001E-2</c:v>
                </c:pt>
                <c:pt idx="7">
                  <c:v>4.6387499999999998E-2</c:v>
                </c:pt>
                <c:pt idx="8">
                  <c:v>3.0817250000000001E-2</c:v>
                </c:pt>
                <c:pt idx="9">
                  <c:v>1.5069900000000001E-2</c:v>
                </c:pt>
                <c:pt idx="10">
                  <c:v>1.390716E-2</c:v>
                </c:pt>
                <c:pt idx="11">
                  <c:v>1.0207000000000001E-2</c:v>
                </c:pt>
              </c:numCache>
            </c:numRef>
          </c:yVal>
          <c:smooth val="0"/>
        </c:ser>
        <c:dLbls>
          <c:showLegendKey val="0"/>
          <c:showVal val="0"/>
          <c:showCatName val="0"/>
          <c:showSerName val="0"/>
          <c:showPercent val="0"/>
          <c:showBubbleSize val="0"/>
        </c:dLbls>
        <c:axId val="729381848"/>
        <c:axId val="729382240"/>
      </c:scatterChart>
      <c:valAx>
        <c:axId val="7293818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9382240"/>
        <c:crosses val="autoZero"/>
        <c:crossBetween val="midCat"/>
      </c:valAx>
      <c:valAx>
        <c:axId val="7293822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93818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JBT13_SameDuration!$G$2:$G$14</c:f>
              <c:numCache>
                <c:formatCode>General</c:formatCode>
                <c:ptCount val="13"/>
                <c:pt idx="0">
                  <c:v>275500</c:v>
                </c:pt>
                <c:pt idx="5">
                  <c:v>104100</c:v>
                </c:pt>
                <c:pt idx="6">
                  <c:v>70500</c:v>
                </c:pt>
                <c:pt idx="7">
                  <c:v>250500</c:v>
                </c:pt>
                <c:pt idx="8">
                  <c:v>284000</c:v>
                </c:pt>
                <c:pt idx="9">
                  <c:v>78900</c:v>
                </c:pt>
                <c:pt idx="10">
                  <c:v>146700</c:v>
                </c:pt>
                <c:pt idx="11">
                  <c:v>86500</c:v>
                </c:pt>
              </c:numCache>
            </c:numRef>
          </c:xVal>
          <c:yVal>
            <c:numRef>
              <c:f>JBT13_SameDuration!$J$2:$J$14</c:f>
              <c:numCache>
                <c:formatCode>General</c:formatCode>
                <c:ptCount val="13"/>
                <c:pt idx="0">
                  <c:v>1.68055</c:v>
                </c:pt>
                <c:pt idx="5">
                  <c:v>0.829677</c:v>
                </c:pt>
                <c:pt idx="6">
                  <c:v>0.63027</c:v>
                </c:pt>
                <c:pt idx="7">
                  <c:v>4.5427350000000004</c:v>
                </c:pt>
                <c:pt idx="8">
                  <c:v>6.1941959999999998</c:v>
                </c:pt>
                <c:pt idx="9">
                  <c:v>0.95863500000000001</c:v>
                </c:pt>
                <c:pt idx="10">
                  <c:v>2.4894989999999999</c:v>
                </c:pt>
                <c:pt idx="11">
                  <c:v>0.88229999999999997</c:v>
                </c:pt>
              </c:numCache>
            </c:numRef>
          </c:yVal>
          <c:smooth val="0"/>
        </c:ser>
        <c:dLbls>
          <c:showLegendKey val="0"/>
          <c:showVal val="0"/>
          <c:showCatName val="0"/>
          <c:showSerName val="0"/>
          <c:showPercent val="0"/>
          <c:showBubbleSize val="0"/>
        </c:dLbls>
        <c:axId val="729383024"/>
        <c:axId val="729383416"/>
      </c:scatterChart>
      <c:valAx>
        <c:axId val="7293830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9383416"/>
        <c:crosses val="autoZero"/>
        <c:crossBetween val="midCat"/>
      </c:valAx>
      <c:valAx>
        <c:axId val="7293834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9383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JBT13_SameDuration!$G$2:$G$14</c:f>
              <c:numCache>
                <c:formatCode>General</c:formatCode>
                <c:ptCount val="13"/>
                <c:pt idx="0">
                  <c:v>275500</c:v>
                </c:pt>
                <c:pt idx="5">
                  <c:v>104100</c:v>
                </c:pt>
                <c:pt idx="6">
                  <c:v>70500</c:v>
                </c:pt>
                <c:pt idx="7">
                  <c:v>250500</c:v>
                </c:pt>
                <c:pt idx="8">
                  <c:v>284000</c:v>
                </c:pt>
                <c:pt idx="9">
                  <c:v>78900</c:v>
                </c:pt>
                <c:pt idx="10">
                  <c:v>146700</c:v>
                </c:pt>
                <c:pt idx="11">
                  <c:v>86500</c:v>
                </c:pt>
              </c:numCache>
            </c:numRef>
          </c:xVal>
          <c:yVal>
            <c:numRef>
              <c:f>JBT13_SameDuration!$H$2:$H$14</c:f>
              <c:numCache>
                <c:formatCode>General</c:formatCode>
                <c:ptCount val="13"/>
                <c:pt idx="0">
                  <c:v>3.3059999999999999E-2</c:v>
                </c:pt>
                <c:pt idx="5">
                  <c:v>8.48415E-2</c:v>
                </c:pt>
                <c:pt idx="6">
                  <c:v>6.4296000000000006E-2</c:v>
                </c:pt>
                <c:pt idx="7">
                  <c:v>0.1173025</c:v>
                </c:pt>
                <c:pt idx="8">
                  <c:v>5.822401E-2</c:v>
                </c:pt>
                <c:pt idx="9">
                  <c:v>2.7615000000000001E-2</c:v>
                </c:pt>
                <c:pt idx="10">
                  <c:v>1.398051E-2</c:v>
                </c:pt>
                <c:pt idx="11">
                  <c:v>1.09855E-2</c:v>
                </c:pt>
              </c:numCache>
            </c:numRef>
          </c:yVal>
          <c:smooth val="0"/>
        </c:ser>
        <c:dLbls>
          <c:showLegendKey val="0"/>
          <c:showVal val="0"/>
          <c:showCatName val="0"/>
          <c:showSerName val="0"/>
          <c:showPercent val="0"/>
          <c:showBubbleSize val="0"/>
        </c:dLbls>
        <c:axId val="705699304"/>
        <c:axId val="705699696"/>
      </c:scatterChart>
      <c:valAx>
        <c:axId val="7056993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699696"/>
        <c:crosses val="autoZero"/>
        <c:crossBetween val="midCat"/>
      </c:valAx>
      <c:valAx>
        <c:axId val="705699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6993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JBT13_SameDuration!$G$2:$G$14</c:f>
              <c:numCache>
                <c:formatCode>General</c:formatCode>
                <c:ptCount val="13"/>
                <c:pt idx="0">
                  <c:v>275500</c:v>
                </c:pt>
                <c:pt idx="5">
                  <c:v>104100</c:v>
                </c:pt>
                <c:pt idx="6">
                  <c:v>70500</c:v>
                </c:pt>
                <c:pt idx="7">
                  <c:v>250500</c:v>
                </c:pt>
                <c:pt idx="8">
                  <c:v>284000</c:v>
                </c:pt>
                <c:pt idx="9">
                  <c:v>78900</c:v>
                </c:pt>
                <c:pt idx="10">
                  <c:v>146700</c:v>
                </c:pt>
                <c:pt idx="11">
                  <c:v>86500</c:v>
                </c:pt>
              </c:numCache>
            </c:numRef>
          </c:xVal>
          <c:yVal>
            <c:numRef>
              <c:f>JBT13_SameDuration!$J$2:$J$14</c:f>
              <c:numCache>
                <c:formatCode>General</c:formatCode>
                <c:ptCount val="13"/>
                <c:pt idx="0">
                  <c:v>1.68055</c:v>
                </c:pt>
                <c:pt idx="5">
                  <c:v>0.829677</c:v>
                </c:pt>
                <c:pt idx="6">
                  <c:v>0.63027</c:v>
                </c:pt>
                <c:pt idx="7">
                  <c:v>4.5427350000000004</c:v>
                </c:pt>
                <c:pt idx="8">
                  <c:v>6.1941959999999998</c:v>
                </c:pt>
                <c:pt idx="9">
                  <c:v>0.95863500000000001</c:v>
                </c:pt>
                <c:pt idx="10">
                  <c:v>2.4894989999999999</c:v>
                </c:pt>
                <c:pt idx="11">
                  <c:v>0.88229999999999997</c:v>
                </c:pt>
              </c:numCache>
            </c:numRef>
          </c:yVal>
          <c:smooth val="0"/>
        </c:ser>
        <c:dLbls>
          <c:showLegendKey val="0"/>
          <c:showVal val="0"/>
          <c:showCatName val="0"/>
          <c:showSerName val="0"/>
          <c:showPercent val="0"/>
          <c:showBubbleSize val="0"/>
        </c:dLbls>
        <c:axId val="705700480"/>
        <c:axId val="705700872"/>
      </c:scatterChart>
      <c:valAx>
        <c:axId val="7057004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700872"/>
        <c:crosses val="autoZero"/>
        <c:crossBetween val="midCat"/>
      </c:valAx>
      <c:valAx>
        <c:axId val="7057008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7004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JBT13_SameDuration!$G$2:$G$14</c:f>
              <c:numCache>
                <c:formatCode>General</c:formatCode>
                <c:ptCount val="13"/>
                <c:pt idx="0">
                  <c:v>275500</c:v>
                </c:pt>
                <c:pt idx="5">
                  <c:v>104100</c:v>
                </c:pt>
                <c:pt idx="6">
                  <c:v>70500</c:v>
                </c:pt>
                <c:pt idx="7">
                  <c:v>250500</c:v>
                </c:pt>
                <c:pt idx="8">
                  <c:v>284000</c:v>
                </c:pt>
                <c:pt idx="9">
                  <c:v>78900</c:v>
                </c:pt>
                <c:pt idx="10">
                  <c:v>146700</c:v>
                </c:pt>
                <c:pt idx="11">
                  <c:v>86500</c:v>
                </c:pt>
              </c:numCache>
            </c:numRef>
          </c:xVal>
          <c:yVal>
            <c:numRef>
              <c:f>JBT13_SameDuration!$I$2:$I$14</c:f>
              <c:numCache>
                <c:formatCode>General</c:formatCode>
                <c:ptCount val="13"/>
                <c:pt idx="0">
                  <c:v>9.8353499999999996E-3</c:v>
                </c:pt>
                <c:pt idx="5">
                  <c:v>5.1008999999999999E-2</c:v>
                </c:pt>
                <c:pt idx="6">
                  <c:v>4.1242500000000001E-2</c:v>
                </c:pt>
                <c:pt idx="7">
                  <c:v>4.6387499999999998E-2</c:v>
                </c:pt>
                <c:pt idx="8">
                  <c:v>3.0817250000000001E-2</c:v>
                </c:pt>
                <c:pt idx="9">
                  <c:v>1.5069900000000001E-2</c:v>
                </c:pt>
                <c:pt idx="10">
                  <c:v>1.390716E-2</c:v>
                </c:pt>
                <c:pt idx="11">
                  <c:v>1.0207000000000001E-2</c:v>
                </c:pt>
              </c:numCache>
            </c:numRef>
          </c:yVal>
          <c:smooth val="0"/>
        </c:ser>
        <c:dLbls>
          <c:showLegendKey val="0"/>
          <c:showVal val="0"/>
          <c:showCatName val="0"/>
          <c:showSerName val="0"/>
          <c:showPercent val="0"/>
          <c:showBubbleSize val="0"/>
        </c:dLbls>
        <c:axId val="705701656"/>
        <c:axId val="705702048"/>
      </c:scatterChart>
      <c:valAx>
        <c:axId val="7057016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702048"/>
        <c:crosses val="autoZero"/>
        <c:crossBetween val="midCat"/>
      </c:valAx>
      <c:valAx>
        <c:axId val="7057020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7016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3172047244094488"/>
                  <c:y val="-0.23681070197107715"/>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JBT02_SameDuration!$G$2:$G$14</c:f>
              <c:numCache>
                <c:formatCode>General</c:formatCode>
                <c:ptCount val="13"/>
                <c:pt idx="0">
                  <c:v>167500</c:v>
                </c:pt>
                <c:pt idx="1">
                  <c:v>35200</c:v>
                </c:pt>
                <c:pt idx="3">
                  <c:v>32300</c:v>
                </c:pt>
                <c:pt idx="4">
                  <c:v>32100</c:v>
                </c:pt>
                <c:pt idx="5">
                  <c:v>18400</c:v>
                </c:pt>
                <c:pt idx="6">
                  <c:v>33000</c:v>
                </c:pt>
                <c:pt idx="9">
                  <c:v>106900</c:v>
                </c:pt>
                <c:pt idx="10">
                  <c:v>50500</c:v>
                </c:pt>
                <c:pt idx="11">
                  <c:v>10200</c:v>
                </c:pt>
                <c:pt idx="12">
                  <c:v>1300</c:v>
                </c:pt>
              </c:numCache>
            </c:numRef>
          </c:xVal>
          <c:yVal>
            <c:numRef>
              <c:f>JBT02_SameDuration!$I$2:$I$14</c:f>
              <c:numCache>
                <c:formatCode>General</c:formatCode>
                <c:ptCount val="13"/>
                <c:pt idx="0">
                  <c:v>2.1797199999999999E-2</c:v>
                </c:pt>
                <c:pt idx="1">
                  <c:v>1.3235199999999999E-3</c:v>
                </c:pt>
                <c:pt idx="3">
                  <c:v>9.7868999999999994E-4</c:v>
                </c:pt>
                <c:pt idx="4">
                  <c:v>9.0521999999999998E-4</c:v>
                </c:pt>
                <c:pt idx="5">
                  <c:v>5.2439999999999995E-4</c:v>
                </c:pt>
                <c:pt idx="6">
                  <c:v>1.3959E-3</c:v>
                </c:pt>
                <c:pt idx="9">
                  <c:v>1.63114E-2</c:v>
                </c:pt>
                <c:pt idx="10">
                  <c:v>5.9589999999999999E-3</c:v>
                </c:pt>
                <c:pt idx="11">
                  <c:v>7.1807999999999996E-4</c:v>
                </c:pt>
                <c:pt idx="12">
                  <c:v>5.1999999999999997E-5</c:v>
                </c:pt>
              </c:numCache>
            </c:numRef>
          </c:yVal>
          <c:smooth val="0"/>
        </c:ser>
        <c:dLbls>
          <c:showLegendKey val="0"/>
          <c:showVal val="0"/>
          <c:showCatName val="0"/>
          <c:showSerName val="0"/>
          <c:showPercent val="0"/>
          <c:showBubbleSize val="0"/>
        </c:dLbls>
        <c:axId val="705445888"/>
        <c:axId val="705446280"/>
      </c:scatterChart>
      <c:valAx>
        <c:axId val="7054458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446280"/>
        <c:crosses val="autoZero"/>
        <c:crossBetween val="midCat"/>
      </c:valAx>
      <c:valAx>
        <c:axId val="705446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4458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JBT02_SameDuration!$G$2:$G$14</c:f>
              <c:numCache>
                <c:formatCode>General</c:formatCode>
                <c:ptCount val="13"/>
                <c:pt idx="0">
                  <c:v>167500</c:v>
                </c:pt>
                <c:pt idx="1">
                  <c:v>35200</c:v>
                </c:pt>
                <c:pt idx="3">
                  <c:v>32300</c:v>
                </c:pt>
                <c:pt idx="4">
                  <c:v>32100</c:v>
                </c:pt>
                <c:pt idx="5">
                  <c:v>18400</c:v>
                </c:pt>
                <c:pt idx="6">
                  <c:v>33000</c:v>
                </c:pt>
                <c:pt idx="9">
                  <c:v>106900</c:v>
                </c:pt>
                <c:pt idx="10">
                  <c:v>50500</c:v>
                </c:pt>
                <c:pt idx="11">
                  <c:v>10200</c:v>
                </c:pt>
                <c:pt idx="12">
                  <c:v>1300</c:v>
                </c:pt>
              </c:numCache>
            </c:numRef>
          </c:xVal>
          <c:yVal>
            <c:numRef>
              <c:f>JBT02_SameDuration!$J$2:$J$14</c:f>
              <c:numCache>
                <c:formatCode>General</c:formatCode>
                <c:ptCount val="13"/>
                <c:pt idx="0">
                  <c:v>1.365796</c:v>
                </c:pt>
                <c:pt idx="1">
                  <c:v>0.29075200000000001</c:v>
                </c:pt>
                <c:pt idx="3">
                  <c:v>0.28520899999999999</c:v>
                </c:pt>
                <c:pt idx="4">
                  <c:v>0.37813799999999997</c:v>
                </c:pt>
                <c:pt idx="5">
                  <c:v>0.21509600000000001</c:v>
                </c:pt>
                <c:pt idx="6">
                  <c:v>0.42437999999999998</c:v>
                </c:pt>
                <c:pt idx="9">
                  <c:v>0.85726600000000008</c:v>
                </c:pt>
                <c:pt idx="10">
                  <c:v>0.36713499999999999</c:v>
                </c:pt>
                <c:pt idx="11">
                  <c:v>8.1906000000000007E-2</c:v>
                </c:pt>
                <c:pt idx="12">
                  <c:v>1.0933E-2</c:v>
                </c:pt>
              </c:numCache>
            </c:numRef>
          </c:yVal>
          <c:smooth val="0"/>
        </c:ser>
        <c:dLbls>
          <c:showLegendKey val="0"/>
          <c:showVal val="0"/>
          <c:showCatName val="0"/>
          <c:showSerName val="0"/>
          <c:showPercent val="0"/>
          <c:showBubbleSize val="0"/>
        </c:dLbls>
        <c:axId val="705447064"/>
        <c:axId val="705447456"/>
      </c:scatterChart>
      <c:valAx>
        <c:axId val="7054470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447456"/>
        <c:crosses val="autoZero"/>
        <c:crossBetween val="midCat"/>
      </c:valAx>
      <c:valAx>
        <c:axId val="7054474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44706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'JBT05'!$H$1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1265288713910761"/>
                  <c:y val="-5.676298381254379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'JBT05'!$D$2:$D$20</c:f>
              <c:numCache>
                <c:formatCode>General</c:formatCode>
                <c:ptCount val="19"/>
                <c:pt idx="0">
                  <c:v>2150922.133564</c:v>
                </c:pt>
                <c:pt idx="1">
                  <c:v>4376876.7416079901</c:v>
                </c:pt>
                <c:pt idx="2">
                  <c:v>1552270.7864620001</c:v>
                </c:pt>
                <c:pt idx="3">
                  <c:v>730402.55316789902</c:v>
                </c:pt>
                <c:pt idx="4">
                  <c:v>716101.52280940802</c:v>
                </c:pt>
                <c:pt idx="5">
                  <c:v>1141676.8340982001</c:v>
                </c:pt>
                <c:pt idx="6">
                  <c:v>1239240.8229799999</c:v>
                </c:pt>
                <c:pt idx="7">
                  <c:v>567215.56515779998</c:v>
                </c:pt>
                <c:pt idx="8">
                  <c:v>251467.00452399999</c:v>
                </c:pt>
                <c:pt idx="9">
                  <c:v>1205641.7064060001</c:v>
                </c:pt>
                <c:pt idx="10">
                  <c:v>1216393.20224</c:v>
                </c:pt>
                <c:pt idx="11">
                  <c:v>802288.58420100005</c:v>
                </c:pt>
                <c:pt idx="12">
                  <c:v>801986.60231400002</c:v>
                </c:pt>
                <c:pt idx="13">
                  <c:v>597887.25164000003</c:v>
                </c:pt>
                <c:pt idx="14">
                  <c:v>2058051.1717399</c:v>
                </c:pt>
                <c:pt idx="15">
                  <c:v>2375830.2936433</c:v>
                </c:pt>
                <c:pt idx="16">
                  <c:v>2215152.7885822998</c:v>
                </c:pt>
                <c:pt idx="17">
                  <c:v>908199.85684789903</c:v>
                </c:pt>
                <c:pt idx="18">
                  <c:v>815844.57990600099</c:v>
                </c:pt>
              </c:numCache>
            </c:numRef>
          </c:xVal>
          <c:yVal>
            <c:numRef>
              <c:f>'JBT05'!$H$2:$H$20</c:f>
              <c:numCache>
                <c:formatCode>General</c:formatCode>
                <c:ptCount val="19"/>
                <c:pt idx="0">
                  <c:v>0.48610840218546297</c:v>
                </c:pt>
                <c:pt idx="1">
                  <c:v>0.57774772989225498</c:v>
                </c:pt>
                <c:pt idx="2">
                  <c:v>5.2156298425123197E-2</c:v>
                </c:pt>
                <c:pt idx="3">
                  <c:v>4.3824153190073899E-2</c:v>
                </c:pt>
                <c:pt idx="4">
                  <c:v>2.7498298475881301E-2</c:v>
                </c:pt>
                <c:pt idx="5">
                  <c:v>3.8931180042748599E-2</c:v>
                </c:pt>
                <c:pt idx="6">
                  <c:v>8.3772679633447894E-2</c:v>
                </c:pt>
                <c:pt idx="7">
                  <c:v>3.4713592587657403E-2</c:v>
                </c:pt>
                <c:pt idx="8">
                  <c:v>1.5389780676868799E-2</c:v>
                </c:pt>
                <c:pt idx="9">
                  <c:v>0.41594638871007</c:v>
                </c:pt>
                <c:pt idx="10">
                  <c:v>0.49628842651392002</c:v>
                </c:pt>
                <c:pt idx="11">
                  <c:v>6.3942400160819701E-2</c:v>
                </c:pt>
                <c:pt idx="12">
                  <c:v>0.47718202837682999</c:v>
                </c:pt>
                <c:pt idx="13">
                  <c:v>0.12555632284439999</c:v>
                </c:pt>
                <c:pt idx="14">
                  <c:v>0.27577885701314703</c:v>
                </c:pt>
                <c:pt idx="15">
                  <c:v>1.3423441159084699</c:v>
                </c:pt>
                <c:pt idx="16">
                  <c:v>0.30569108482435697</c:v>
                </c:pt>
                <c:pt idx="17">
                  <c:v>7.7923547717549793E-2</c:v>
                </c:pt>
                <c:pt idx="18">
                  <c:v>3.4918148019976801E-2</c:v>
                </c:pt>
              </c:numCache>
            </c:numRef>
          </c:yVal>
          <c:smooth val="0"/>
        </c:ser>
        <c:dLbls>
          <c:showLegendKey val="0"/>
          <c:showVal val="0"/>
          <c:showCatName val="0"/>
          <c:showSerName val="0"/>
          <c:showPercent val="0"/>
          <c:showBubbleSize val="0"/>
        </c:dLbls>
        <c:axId val="716103080"/>
        <c:axId val="716103472"/>
      </c:scatterChart>
      <c:valAx>
        <c:axId val="7161030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103472"/>
        <c:crosses val="autoZero"/>
        <c:crossBetween val="midCat"/>
      </c:valAx>
      <c:valAx>
        <c:axId val="7161034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1030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'JBT05'!$I$1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1.3416666666666667E-2"/>
                  <c:y val="-0.1714888937493924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'JBT05'!$D$2:$D$20</c:f>
              <c:numCache>
                <c:formatCode>General</c:formatCode>
                <c:ptCount val="19"/>
                <c:pt idx="0">
                  <c:v>2150922.133564</c:v>
                </c:pt>
                <c:pt idx="1">
                  <c:v>4376876.7416079901</c:v>
                </c:pt>
                <c:pt idx="2">
                  <c:v>1552270.7864620001</c:v>
                </c:pt>
                <c:pt idx="3">
                  <c:v>730402.55316789902</c:v>
                </c:pt>
                <c:pt idx="4">
                  <c:v>716101.52280940802</c:v>
                </c:pt>
                <c:pt idx="5">
                  <c:v>1141676.8340982001</c:v>
                </c:pt>
                <c:pt idx="6">
                  <c:v>1239240.8229799999</c:v>
                </c:pt>
                <c:pt idx="7">
                  <c:v>567215.56515779998</c:v>
                </c:pt>
                <c:pt idx="8">
                  <c:v>251467.00452399999</c:v>
                </c:pt>
                <c:pt idx="9">
                  <c:v>1205641.7064060001</c:v>
                </c:pt>
                <c:pt idx="10">
                  <c:v>1216393.20224</c:v>
                </c:pt>
                <c:pt idx="11">
                  <c:v>802288.58420100005</c:v>
                </c:pt>
                <c:pt idx="12">
                  <c:v>801986.60231400002</c:v>
                </c:pt>
                <c:pt idx="13">
                  <c:v>597887.25164000003</c:v>
                </c:pt>
                <c:pt idx="14">
                  <c:v>2058051.1717399</c:v>
                </c:pt>
                <c:pt idx="15">
                  <c:v>2375830.2936433</c:v>
                </c:pt>
                <c:pt idx="16">
                  <c:v>2215152.7885822998</c:v>
                </c:pt>
                <c:pt idx="17">
                  <c:v>908199.85684789903</c:v>
                </c:pt>
                <c:pt idx="18">
                  <c:v>815844.57990600099</c:v>
                </c:pt>
              </c:numCache>
            </c:numRef>
          </c:xVal>
          <c:yVal>
            <c:numRef>
              <c:f>'JBT05'!$I$2:$I$20</c:f>
              <c:numCache>
                <c:formatCode>General</c:formatCode>
                <c:ptCount val="19"/>
                <c:pt idx="0">
                  <c:v>0.23229959042491199</c:v>
                </c:pt>
                <c:pt idx="1">
                  <c:v>0.36284308187930298</c:v>
                </c:pt>
                <c:pt idx="2">
                  <c:v>4.1290402919889203E-2</c:v>
                </c:pt>
                <c:pt idx="3">
                  <c:v>2.8047458041647301E-2</c:v>
                </c:pt>
                <c:pt idx="4">
                  <c:v>2.6495756343948101E-2</c:v>
                </c:pt>
                <c:pt idx="5">
                  <c:v>2.44318842497015E-2</c:v>
                </c:pt>
                <c:pt idx="6">
                  <c:v>6.1466344819807901E-2</c:v>
                </c:pt>
                <c:pt idx="7">
                  <c:v>2.30289519454067E-2</c:v>
                </c:pt>
                <c:pt idx="8">
                  <c:v>1.0209560383674401E-2</c:v>
                </c:pt>
                <c:pt idx="9">
                  <c:v>0.34360788632570999</c:v>
                </c:pt>
                <c:pt idx="10">
                  <c:v>0.43425237319968002</c:v>
                </c:pt>
                <c:pt idx="11">
                  <c:v>4.5890907016297201E-2</c:v>
                </c:pt>
                <c:pt idx="12">
                  <c:v>0.36249794424592802</c:v>
                </c:pt>
                <c:pt idx="13">
                  <c:v>0.10821759254684001</c:v>
                </c:pt>
                <c:pt idx="14">
                  <c:v>0.20580511717399</c:v>
                </c:pt>
                <c:pt idx="15">
                  <c:v>1.1712843347661499</c:v>
                </c:pt>
                <c:pt idx="16">
                  <c:v>0.23037589001255901</c:v>
                </c:pt>
                <c:pt idx="17">
                  <c:v>4.6772292627666801E-2</c:v>
                </c:pt>
                <c:pt idx="18">
                  <c:v>3.0675756204465599E-2</c:v>
                </c:pt>
              </c:numCache>
            </c:numRef>
          </c:yVal>
          <c:smooth val="0"/>
        </c:ser>
        <c:dLbls>
          <c:showLegendKey val="0"/>
          <c:showVal val="0"/>
          <c:showCatName val="0"/>
          <c:showSerName val="0"/>
          <c:showPercent val="0"/>
          <c:showBubbleSize val="0"/>
        </c:dLbls>
        <c:axId val="716104256"/>
        <c:axId val="709664056"/>
      </c:scatterChart>
      <c:valAx>
        <c:axId val="7161042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664056"/>
        <c:crosses val="autoZero"/>
        <c:crossBetween val="midCat"/>
      </c:valAx>
      <c:valAx>
        <c:axId val="7096640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6104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'JBT05'!$J$1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3566797900262473"/>
                  <c:y val="-0.1132114562068630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'JBT05'!$D$2:$D$20</c:f>
              <c:numCache>
                <c:formatCode>General</c:formatCode>
                <c:ptCount val="19"/>
                <c:pt idx="0">
                  <c:v>2150922.133564</c:v>
                </c:pt>
                <c:pt idx="1">
                  <c:v>4376876.7416079901</c:v>
                </c:pt>
                <c:pt idx="2">
                  <c:v>1552270.7864620001</c:v>
                </c:pt>
                <c:pt idx="3">
                  <c:v>730402.55316789902</c:v>
                </c:pt>
                <c:pt idx="4">
                  <c:v>716101.52280940802</c:v>
                </c:pt>
                <c:pt idx="5">
                  <c:v>1141676.8340982001</c:v>
                </c:pt>
                <c:pt idx="6">
                  <c:v>1239240.8229799999</c:v>
                </c:pt>
                <c:pt idx="7">
                  <c:v>567215.56515779998</c:v>
                </c:pt>
                <c:pt idx="8">
                  <c:v>251467.00452399999</c:v>
                </c:pt>
                <c:pt idx="9">
                  <c:v>1205641.7064060001</c:v>
                </c:pt>
                <c:pt idx="10">
                  <c:v>1216393.20224</c:v>
                </c:pt>
                <c:pt idx="11">
                  <c:v>802288.58420100005</c:v>
                </c:pt>
                <c:pt idx="12">
                  <c:v>801986.60231400002</c:v>
                </c:pt>
                <c:pt idx="13">
                  <c:v>597887.25164000003</c:v>
                </c:pt>
                <c:pt idx="14">
                  <c:v>2058051.1717399</c:v>
                </c:pt>
                <c:pt idx="15">
                  <c:v>2375830.2936433</c:v>
                </c:pt>
                <c:pt idx="16">
                  <c:v>2215152.7885822998</c:v>
                </c:pt>
                <c:pt idx="17">
                  <c:v>908199.85684789903</c:v>
                </c:pt>
                <c:pt idx="18">
                  <c:v>815844.57990600099</c:v>
                </c:pt>
              </c:numCache>
            </c:numRef>
          </c:xVal>
          <c:yVal>
            <c:numRef>
              <c:f>'JBT05'!$J$2:$J$20</c:f>
              <c:numCache>
                <c:formatCode>General</c:formatCode>
                <c:ptCount val="19"/>
                <c:pt idx="0">
                  <c:v>44.308995951418296</c:v>
                </c:pt>
                <c:pt idx="1">
                  <c:v>103.119216032284</c:v>
                </c:pt>
                <c:pt idx="2">
                  <c:v>33.653230650496198</c:v>
                </c:pt>
                <c:pt idx="3">
                  <c:v>10.839173889011599</c:v>
                </c:pt>
                <c:pt idx="4">
                  <c:v>7.5333880199549696</c:v>
                </c:pt>
                <c:pt idx="5">
                  <c:v>9.2475823561954194</c:v>
                </c:pt>
                <c:pt idx="6">
                  <c:v>15.7135736353864</c:v>
                </c:pt>
                <c:pt idx="7">
                  <c:v>8.2132813834849401</c:v>
                </c:pt>
                <c:pt idx="8">
                  <c:v>3.6412422255075199</c:v>
                </c:pt>
                <c:pt idx="9">
                  <c:v>41.871936463480402</c:v>
                </c:pt>
                <c:pt idx="10">
                  <c:v>33.730583498115202</c:v>
                </c:pt>
                <c:pt idx="11">
                  <c:v>19.920825545710802</c:v>
                </c:pt>
                <c:pt idx="12">
                  <c:v>17.026175567126199</c:v>
                </c:pt>
                <c:pt idx="13">
                  <c:v>14.1280757562532</c:v>
                </c:pt>
                <c:pt idx="14">
                  <c:v>50.586897801366703</c:v>
                </c:pt>
                <c:pt idx="15">
                  <c:v>56.307177959346198</c:v>
                </c:pt>
                <c:pt idx="16">
                  <c:v>65.457764902606996</c:v>
                </c:pt>
                <c:pt idx="17">
                  <c:v>21.61515659298</c:v>
                </c:pt>
                <c:pt idx="18">
                  <c:v>17.630401371768698</c:v>
                </c:pt>
              </c:numCache>
            </c:numRef>
          </c:yVal>
          <c:smooth val="0"/>
        </c:ser>
        <c:dLbls>
          <c:showLegendKey val="0"/>
          <c:showVal val="0"/>
          <c:showCatName val="0"/>
          <c:showSerName val="0"/>
          <c:showPercent val="0"/>
          <c:showBubbleSize val="0"/>
        </c:dLbls>
        <c:axId val="709664840"/>
        <c:axId val="709665232"/>
      </c:scatterChart>
      <c:valAx>
        <c:axId val="7096648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665232"/>
        <c:crosses val="autoZero"/>
        <c:crossBetween val="midCat"/>
      </c:valAx>
      <c:valAx>
        <c:axId val="7096652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6648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'JBT05'!$H$1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6037510936132984"/>
                  <c:y val="-5.670399797310404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'JBT05'!$D$2:$D$20</c:f>
              <c:numCache>
                <c:formatCode>General</c:formatCode>
                <c:ptCount val="19"/>
                <c:pt idx="0">
                  <c:v>2150922.133564</c:v>
                </c:pt>
                <c:pt idx="1">
                  <c:v>4376876.7416079901</c:v>
                </c:pt>
                <c:pt idx="2">
                  <c:v>1552270.7864620001</c:v>
                </c:pt>
                <c:pt idx="3">
                  <c:v>730402.55316789902</c:v>
                </c:pt>
                <c:pt idx="4">
                  <c:v>716101.52280940802</c:v>
                </c:pt>
                <c:pt idx="5">
                  <c:v>1141676.8340982001</c:v>
                </c:pt>
                <c:pt idx="6">
                  <c:v>1239240.8229799999</c:v>
                </c:pt>
                <c:pt idx="7">
                  <c:v>567215.56515779998</c:v>
                </c:pt>
                <c:pt idx="8">
                  <c:v>251467.00452399999</c:v>
                </c:pt>
                <c:pt idx="9">
                  <c:v>1205641.7064060001</c:v>
                </c:pt>
                <c:pt idx="10">
                  <c:v>1216393.20224</c:v>
                </c:pt>
                <c:pt idx="11">
                  <c:v>802288.58420100005</c:v>
                </c:pt>
                <c:pt idx="12">
                  <c:v>801986.60231400002</c:v>
                </c:pt>
                <c:pt idx="13">
                  <c:v>597887.25164000003</c:v>
                </c:pt>
                <c:pt idx="14">
                  <c:v>2058051.1717399</c:v>
                </c:pt>
                <c:pt idx="15">
                  <c:v>2375830.2936433</c:v>
                </c:pt>
                <c:pt idx="16">
                  <c:v>2215152.7885822998</c:v>
                </c:pt>
                <c:pt idx="17">
                  <c:v>908199.85684789903</c:v>
                </c:pt>
                <c:pt idx="18">
                  <c:v>815844.57990600099</c:v>
                </c:pt>
              </c:numCache>
            </c:numRef>
          </c:xVal>
          <c:yVal>
            <c:numRef>
              <c:f>'JBT05'!$H$2:$H$20</c:f>
              <c:numCache>
                <c:formatCode>General</c:formatCode>
                <c:ptCount val="19"/>
                <c:pt idx="0">
                  <c:v>0.48610840218546297</c:v>
                </c:pt>
                <c:pt idx="1">
                  <c:v>0.57774772989225498</c:v>
                </c:pt>
                <c:pt idx="2">
                  <c:v>5.2156298425123197E-2</c:v>
                </c:pt>
                <c:pt idx="3">
                  <c:v>4.3824153190073899E-2</c:v>
                </c:pt>
                <c:pt idx="4">
                  <c:v>2.7498298475881301E-2</c:v>
                </c:pt>
                <c:pt idx="5">
                  <c:v>3.8931180042748599E-2</c:v>
                </c:pt>
                <c:pt idx="6">
                  <c:v>8.3772679633447894E-2</c:v>
                </c:pt>
                <c:pt idx="7">
                  <c:v>3.4713592587657403E-2</c:v>
                </c:pt>
                <c:pt idx="8">
                  <c:v>1.5389780676868799E-2</c:v>
                </c:pt>
                <c:pt idx="9">
                  <c:v>0.41594638871007</c:v>
                </c:pt>
                <c:pt idx="10">
                  <c:v>0.49628842651392002</c:v>
                </c:pt>
                <c:pt idx="11">
                  <c:v>6.3942400160819701E-2</c:v>
                </c:pt>
                <c:pt idx="12">
                  <c:v>0.47718202837682999</c:v>
                </c:pt>
                <c:pt idx="13">
                  <c:v>0.12555632284439999</c:v>
                </c:pt>
                <c:pt idx="14">
                  <c:v>0.27577885701314703</c:v>
                </c:pt>
                <c:pt idx="15">
                  <c:v>1.3423441159084699</c:v>
                </c:pt>
                <c:pt idx="16">
                  <c:v>0.30569108482435697</c:v>
                </c:pt>
                <c:pt idx="17">
                  <c:v>7.7923547717549793E-2</c:v>
                </c:pt>
                <c:pt idx="18">
                  <c:v>3.4918148019976801E-2</c:v>
                </c:pt>
              </c:numCache>
            </c:numRef>
          </c:yVal>
          <c:smooth val="0"/>
        </c:ser>
        <c:dLbls>
          <c:showLegendKey val="0"/>
          <c:showVal val="0"/>
          <c:showCatName val="0"/>
          <c:showSerName val="0"/>
          <c:showPercent val="0"/>
          <c:showBubbleSize val="0"/>
        </c:dLbls>
        <c:axId val="597880808"/>
        <c:axId val="597881200"/>
      </c:scatterChart>
      <c:valAx>
        <c:axId val="5978808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7881200"/>
        <c:crosses val="autoZero"/>
        <c:crossBetween val="midCat"/>
      </c:valAx>
      <c:valAx>
        <c:axId val="5978812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78808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'JBT05'!$I$1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8.8152887139107614E-2"/>
                  <c:y val="-0.2015960678526295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'JBT05'!$D$2:$D$20</c:f>
              <c:numCache>
                <c:formatCode>General</c:formatCode>
                <c:ptCount val="19"/>
                <c:pt idx="0">
                  <c:v>2150922.133564</c:v>
                </c:pt>
                <c:pt idx="1">
                  <c:v>4376876.7416079901</c:v>
                </c:pt>
                <c:pt idx="2">
                  <c:v>1552270.7864620001</c:v>
                </c:pt>
                <c:pt idx="3">
                  <c:v>730402.55316789902</c:v>
                </c:pt>
                <c:pt idx="4">
                  <c:v>716101.52280940802</c:v>
                </c:pt>
                <c:pt idx="5">
                  <c:v>1141676.8340982001</c:v>
                </c:pt>
                <c:pt idx="6">
                  <c:v>1239240.8229799999</c:v>
                </c:pt>
                <c:pt idx="7">
                  <c:v>567215.56515779998</c:v>
                </c:pt>
                <c:pt idx="8">
                  <c:v>251467.00452399999</c:v>
                </c:pt>
                <c:pt idx="9">
                  <c:v>1205641.7064060001</c:v>
                </c:pt>
                <c:pt idx="10">
                  <c:v>1216393.20224</c:v>
                </c:pt>
                <c:pt idx="11">
                  <c:v>802288.58420100005</c:v>
                </c:pt>
                <c:pt idx="12">
                  <c:v>801986.60231400002</c:v>
                </c:pt>
                <c:pt idx="13">
                  <c:v>597887.25164000003</c:v>
                </c:pt>
                <c:pt idx="14">
                  <c:v>2058051.1717399</c:v>
                </c:pt>
                <c:pt idx="15">
                  <c:v>2375830.2936433</c:v>
                </c:pt>
                <c:pt idx="16">
                  <c:v>2215152.7885822998</c:v>
                </c:pt>
                <c:pt idx="17">
                  <c:v>908199.85684789903</c:v>
                </c:pt>
                <c:pt idx="18">
                  <c:v>815844.57990600099</c:v>
                </c:pt>
              </c:numCache>
            </c:numRef>
          </c:xVal>
          <c:yVal>
            <c:numRef>
              <c:f>'JBT05'!$I$2:$I$20</c:f>
              <c:numCache>
                <c:formatCode>General</c:formatCode>
                <c:ptCount val="19"/>
                <c:pt idx="0">
                  <c:v>0.23229959042491199</c:v>
                </c:pt>
                <c:pt idx="1">
                  <c:v>0.36284308187930298</c:v>
                </c:pt>
                <c:pt idx="2">
                  <c:v>4.1290402919889203E-2</c:v>
                </c:pt>
                <c:pt idx="3">
                  <c:v>2.8047458041647301E-2</c:v>
                </c:pt>
                <c:pt idx="4">
                  <c:v>2.6495756343948101E-2</c:v>
                </c:pt>
                <c:pt idx="5">
                  <c:v>2.44318842497015E-2</c:v>
                </c:pt>
                <c:pt idx="6">
                  <c:v>6.1466344819807901E-2</c:v>
                </c:pt>
                <c:pt idx="7">
                  <c:v>2.30289519454067E-2</c:v>
                </c:pt>
                <c:pt idx="8">
                  <c:v>1.0209560383674401E-2</c:v>
                </c:pt>
                <c:pt idx="9">
                  <c:v>0.34360788632570999</c:v>
                </c:pt>
                <c:pt idx="10">
                  <c:v>0.43425237319968002</c:v>
                </c:pt>
                <c:pt idx="11">
                  <c:v>4.5890907016297201E-2</c:v>
                </c:pt>
                <c:pt idx="12">
                  <c:v>0.36249794424592802</c:v>
                </c:pt>
                <c:pt idx="13">
                  <c:v>0.10821759254684001</c:v>
                </c:pt>
                <c:pt idx="14">
                  <c:v>0.20580511717399</c:v>
                </c:pt>
                <c:pt idx="15">
                  <c:v>1.1712843347661499</c:v>
                </c:pt>
                <c:pt idx="16">
                  <c:v>0.23037589001255901</c:v>
                </c:pt>
                <c:pt idx="17">
                  <c:v>4.6772292627666801E-2</c:v>
                </c:pt>
                <c:pt idx="18">
                  <c:v>3.0675756204465599E-2</c:v>
                </c:pt>
              </c:numCache>
            </c:numRef>
          </c:yVal>
          <c:smooth val="0"/>
        </c:ser>
        <c:dLbls>
          <c:showLegendKey val="0"/>
          <c:showVal val="0"/>
          <c:showCatName val="0"/>
          <c:showSerName val="0"/>
          <c:showPercent val="0"/>
          <c:showBubbleSize val="0"/>
        </c:dLbls>
        <c:axId val="597881984"/>
        <c:axId val="597882376"/>
      </c:scatterChart>
      <c:valAx>
        <c:axId val="5978819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7882376"/>
        <c:crosses val="autoZero"/>
        <c:crossBetween val="midCat"/>
      </c:valAx>
      <c:valAx>
        <c:axId val="5978823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78819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'JBT05'!$J$1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583902012248469"/>
                  <c:y val="-3.9274691358024694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'JBT05'!$D$2:$D$20</c:f>
              <c:numCache>
                <c:formatCode>General</c:formatCode>
                <c:ptCount val="19"/>
                <c:pt idx="0">
                  <c:v>2150922.133564</c:v>
                </c:pt>
                <c:pt idx="1">
                  <c:v>4376876.7416079901</c:v>
                </c:pt>
                <c:pt idx="2">
                  <c:v>1552270.7864620001</c:v>
                </c:pt>
                <c:pt idx="3">
                  <c:v>730402.55316789902</c:v>
                </c:pt>
                <c:pt idx="4">
                  <c:v>716101.52280940802</c:v>
                </c:pt>
                <c:pt idx="5">
                  <c:v>1141676.8340982001</c:v>
                </c:pt>
                <c:pt idx="6">
                  <c:v>1239240.8229799999</c:v>
                </c:pt>
                <c:pt idx="7">
                  <c:v>567215.56515779998</c:v>
                </c:pt>
                <c:pt idx="8">
                  <c:v>251467.00452399999</c:v>
                </c:pt>
                <c:pt idx="9">
                  <c:v>1205641.7064060001</c:v>
                </c:pt>
                <c:pt idx="10">
                  <c:v>1216393.20224</c:v>
                </c:pt>
                <c:pt idx="11">
                  <c:v>802288.58420100005</c:v>
                </c:pt>
                <c:pt idx="12">
                  <c:v>801986.60231400002</c:v>
                </c:pt>
                <c:pt idx="13">
                  <c:v>597887.25164000003</c:v>
                </c:pt>
                <c:pt idx="14">
                  <c:v>2058051.1717399</c:v>
                </c:pt>
                <c:pt idx="15">
                  <c:v>2375830.2936433</c:v>
                </c:pt>
                <c:pt idx="16">
                  <c:v>2215152.7885822998</c:v>
                </c:pt>
                <c:pt idx="17">
                  <c:v>908199.85684789903</c:v>
                </c:pt>
                <c:pt idx="18">
                  <c:v>815844.57990600099</c:v>
                </c:pt>
              </c:numCache>
            </c:numRef>
          </c:xVal>
          <c:yVal>
            <c:numRef>
              <c:f>'JBT05'!$J$2:$J$20</c:f>
              <c:numCache>
                <c:formatCode>General</c:formatCode>
                <c:ptCount val="19"/>
                <c:pt idx="0">
                  <c:v>44.308995951418296</c:v>
                </c:pt>
                <c:pt idx="1">
                  <c:v>103.119216032284</c:v>
                </c:pt>
                <c:pt idx="2">
                  <c:v>33.653230650496198</c:v>
                </c:pt>
                <c:pt idx="3">
                  <c:v>10.839173889011599</c:v>
                </c:pt>
                <c:pt idx="4">
                  <c:v>7.5333880199549696</c:v>
                </c:pt>
                <c:pt idx="5">
                  <c:v>9.2475823561954194</c:v>
                </c:pt>
                <c:pt idx="6">
                  <c:v>15.7135736353864</c:v>
                </c:pt>
                <c:pt idx="7">
                  <c:v>8.2132813834849401</c:v>
                </c:pt>
                <c:pt idx="8">
                  <c:v>3.6412422255075199</c:v>
                </c:pt>
                <c:pt idx="9">
                  <c:v>41.871936463480402</c:v>
                </c:pt>
                <c:pt idx="10">
                  <c:v>33.730583498115202</c:v>
                </c:pt>
                <c:pt idx="11">
                  <c:v>19.920825545710802</c:v>
                </c:pt>
                <c:pt idx="12">
                  <c:v>17.026175567126199</c:v>
                </c:pt>
                <c:pt idx="13">
                  <c:v>14.1280757562532</c:v>
                </c:pt>
                <c:pt idx="14">
                  <c:v>50.586897801366703</c:v>
                </c:pt>
                <c:pt idx="15">
                  <c:v>56.307177959346198</c:v>
                </c:pt>
                <c:pt idx="16">
                  <c:v>65.457764902606996</c:v>
                </c:pt>
                <c:pt idx="17">
                  <c:v>21.61515659298</c:v>
                </c:pt>
                <c:pt idx="18">
                  <c:v>17.630401371768698</c:v>
                </c:pt>
              </c:numCache>
            </c:numRef>
          </c:yVal>
          <c:smooth val="0"/>
        </c:ser>
        <c:dLbls>
          <c:showLegendKey val="0"/>
          <c:showVal val="0"/>
          <c:showCatName val="0"/>
          <c:showSerName val="0"/>
          <c:showPercent val="0"/>
          <c:showBubbleSize val="0"/>
        </c:dLbls>
        <c:axId val="704960368"/>
        <c:axId val="704960760"/>
      </c:scatterChart>
      <c:valAx>
        <c:axId val="7049603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4960760"/>
        <c:crosses val="autoZero"/>
        <c:crossBetween val="midCat"/>
      </c:valAx>
      <c:valAx>
        <c:axId val="7049607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496036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1200" baseline="0"/>
                      <a:t>y = 2E-07x - 0.1534</a:t>
                    </a:r>
                    <a:br>
                      <a:rPr lang="en-US" sz="1200" baseline="0"/>
                    </a:br>
                    <a:r>
                      <a:rPr lang="en-US" sz="1200" baseline="0"/>
                      <a:t>R² = 0.8865</a:t>
                    </a:r>
                    <a:endParaRPr lang="en-US" sz="1200"/>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JBT05_SameDuration!$G$2:$G$14</c:f>
              <c:numCache>
                <c:formatCode>General</c:formatCode>
                <c:ptCount val="13"/>
                <c:pt idx="0">
                  <c:v>4376876.7416079901</c:v>
                </c:pt>
                <c:pt idx="1">
                  <c:v>1552270.7864620001</c:v>
                </c:pt>
                <c:pt idx="2">
                  <c:v>730402.55316789902</c:v>
                </c:pt>
                <c:pt idx="3">
                  <c:v>716101.52280940802</c:v>
                </c:pt>
                <c:pt idx="4">
                  <c:v>1141676.8340982001</c:v>
                </c:pt>
                <c:pt idx="5">
                  <c:v>1239240.8229799999</c:v>
                </c:pt>
                <c:pt idx="8">
                  <c:v>4260213.6098948997</c:v>
                </c:pt>
                <c:pt idx="10">
                  <c:v>2215152.7885822998</c:v>
                </c:pt>
                <c:pt idx="11">
                  <c:v>908199.85684789903</c:v>
                </c:pt>
                <c:pt idx="12">
                  <c:v>815844.57990600099</c:v>
                </c:pt>
              </c:numCache>
            </c:numRef>
          </c:xVal>
          <c:yVal>
            <c:numRef>
              <c:f>JBT05_SameDuration!$H$2:$H$14</c:f>
              <c:numCache>
                <c:formatCode>General</c:formatCode>
                <c:ptCount val="13"/>
                <c:pt idx="0">
                  <c:v>0.57774772989225498</c:v>
                </c:pt>
                <c:pt idx="1">
                  <c:v>5.2156298425123197E-2</c:v>
                </c:pt>
                <c:pt idx="2">
                  <c:v>4.3824153190073899E-2</c:v>
                </c:pt>
                <c:pt idx="3">
                  <c:v>2.7498298475881301E-2</c:v>
                </c:pt>
                <c:pt idx="4">
                  <c:v>3.8931180042748599E-2</c:v>
                </c:pt>
                <c:pt idx="5">
                  <c:v>8.3772679633447894E-2</c:v>
                </c:pt>
                <c:pt idx="8">
                  <c:v>0.94245960839519682</c:v>
                </c:pt>
                <c:pt idx="10">
                  <c:v>0.30569108482435697</c:v>
                </c:pt>
                <c:pt idx="11">
                  <c:v>7.7923547717549793E-2</c:v>
                </c:pt>
                <c:pt idx="12">
                  <c:v>3.4918148019976801E-2</c:v>
                </c:pt>
              </c:numCache>
            </c:numRef>
          </c:yVal>
          <c:smooth val="0"/>
        </c:ser>
        <c:dLbls>
          <c:showLegendKey val="0"/>
          <c:showVal val="0"/>
          <c:showCatName val="0"/>
          <c:showSerName val="0"/>
          <c:showPercent val="0"/>
          <c:showBubbleSize val="0"/>
        </c:dLbls>
        <c:axId val="704961544"/>
        <c:axId val="698394088"/>
      </c:scatterChart>
      <c:valAx>
        <c:axId val="7049615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8394088"/>
        <c:crosses val="autoZero"/>
        <c:crossBetween val="midCat"/>
      </c:valAx>
      <c:valAx>
        <c:axId val="698394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49615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2816294838145232"/>
                  <c:y val="-2.280001458151064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'JBT02'!$C$2:$C$20</c:f>
              <c:numCache>
                <c:formatCode>General</c:formatCode>
                <c:ptCount val="19"/>
                <c:pt idx="0">
                  <c:v>142800</c:v>
                </c:pt>
                <c:pt idx="1">
                  <c:v>63500</c:v>
                </c:pt>
                <c:pt idx="2">
                  <c:v>60200</c:v>
                </c:pt>
                <c:pt idx="3">
                  <c:v>43800</c:v>
                </c:pt>
                <c:pt idx="4">
                  <c:v>35200</c:v>
                </c:pt>
                <c:pt idx="5">
                  <c:v>32300</c:v>
                </c:pt>
                <c:pt idx="6">
                  <c:v>32100</c:v>
                </c:pt>
                <c:pt idx="7">
                  <c:v>18400</c:v>
                </c:pt>
                <c:pt idx="8">
                  <c:v>33000</c:v>
                </c:pt>
                <c:pt idx="9">
                  <c:v>39400</c:v>
                </c:pt>
                <c:pt idx="10">
                  <c:v>39900</c:v>
                </c:pt>
                <c:pt idx="11">
                  <c:v>38600</c:v>
                </c:pt>
                <c:pt idx="12">
                  <c:v>38100</c:v>
                </c:pt>
                <c:pt idx="13">
                  <c:v>42800</c:v>
                </c:pt>
                <c:pt idx="14">
                  <c:v>59500</c:v>
                </c:pt>
                <c:pt idx="15">
                  <c:v>47400</c:v>
                </c:pt>
                <c:pt idx="16">
                  <c:v>50500</c:v>
                </c:pt>
                <c:pt idx="17">
                  <c:v>10200</c:v>
                </c:pt>
                <c:pt idx="18">
                  <c:v>1300</c:v>
                </c:pt>
              </c:numCache>
            </c:numRef>
          </c:xVal>
          <c:yVal>
            <c:numRef>
              <c:f>'JBT02'!$H$2:$H$20</c:f>
              <c:numCache>
                <c:formatCode>General</c:formatCode>
                <c:ptCount val="19"/>
                <c:pt idx="0">
                  <c:v>7.0257600000000003E-2</c:v>
                </c:pt>
                <c:pt idx="1">
                  <c:v>7.62E-3</c:v>
                </c:pt>
                <c:pt idx="2">
                  <c:v>7.3444000000000001E-3</c:v>
                </c:pt>
                <c:pt idx="3">
                  <c:v>6.8328E-3</c:v>
                </c:pt>
                <c:pt idx="4">
                  <c:v>1.3235199999999999E-3</c:v>
                </c:pt>
                <c:pt idx="5">
                  <c:v>9.7868999999999994E-4</c:v>
                </c:pt>
                <c:pt idx="6">
                  <c:v>9.0521999999999998E-4</c:v>
                </c:pt>
                <c:pt idx="7">
                  <c:v>5.2439999999999995E-4</c:v>
                </c:pt>
                <c:pt idx="8">
                  <c:v>1.3959E-3</c:v>
                </c:pt>
                <c:pt idx="9">
                  <c:v>2.4388600000000002E-3</c:v>
                </c:pt>
                <c:pt idx="10">
                  <c:v>3.2797799999999999E-3</c:v>
                </c:pt>
                <c:pt idx="11">
                  <c:v>3.6283999999999999E-3</c:v>
                </c:pt>
                <c:pt idx="12">
                  <c:v>4.0385999999999998E-3</c:v>
                </c:pt>
                <c:pt idx="13">
                  <c:v>2.5893999999999999E-3</c:v>
                </c:pt>
                <c:pt idx="14">
                  <c:v>7.0210000000000003E-3</c:v>
                </c:pt>
                <c:pt idx="15">
                  <c:v>9.2904000000000007E-3</c:v>
                </c:pt>
                <c:pt idx="16">
                  <c:v>5.9589999999999999E-3</c:v>
                </c:pt>
                <c:pt idx="17">
                  <c:v>7.1807999999999996E-4</c:v>
                </c:pt>
                <c:pt idx="18">
                  <c:v>5.1999999999999997E-5</c:v>
                </c:pt>
              </c:numCache>
            </c:numRef>
          </c:yVal>
          <c:smooth val="0"/>
        </c:ser>
        <c:dLbls>
          <c:showLegendKey val="0"/>
          <c:showVal val="0"/>
          <c:showCatName val="0"/>
          <c:showSerName val="0"/>
          <c:showPercent val="0"/>
          <c:showBubbleSize val="0"/>
        </c:dLbls>
        <c:axId val="723684272"/>
        <c:axId val="723685840"/>
      </c:scatterChart>
      <c:valAx>
        <c:axId val="7236842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3685840"/>
        <c:crosses val="autoZero"/>
        <c:crossBetween val="midCat"/>
      </c:valAx>
      <c:valAx>
        <c:axId val="723685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36842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JBT05_SameDuration!$G$2:$G$14</c:f>
              <c:numCache>
                <c:formatCode>General</c:formatCode>
                <c:ptCount val="13"/>
                <c:pt idx="0">
                  <c:v>4376876.7416079901</c:v>
                </c:pt>
                <c:pt idx="1">
                  <c:v>1552270.7864620001</c:v>
                </c:pt>
                <c:pt idx="2">
                  <c:v>730402.55316789902</c:v>
                </c:pt>
                <c:pt idx="3">
                  <c:v>716101.52280940802</c:v>
                </c:pt>
                <c:pt idx="4">
                  <c:v>1141676.8340982001</c:v>
                </c:pt>
                <c:pt idx="5">
                  <c:v>1239240.8229799999</c:v>
                </c:pt>
                <c:pt idx="8">
                  <c:v>4260213.6098948997</c:v>
                </c:pt>
                <c:pt idx="10">
                  <c:v>2215152.7885822998</c:v>
                </c:pt>
                <c:pt idx="11">
                  <c:v>908199.85684789903</c:v>
                </c:pt>
                <c:pt idx="12">
                  <c:v>815844.57990600099</c:v>
                </c:pt>
              </c:numCache>
            </c:numRef>
          </c:xVal>
          <c:yVal>
            <c:numRef>
              <c:f>JBT05_SameDuration!$I$2:$I$14</c:f>
              <c:numCache>
                <c:formatCode>General</c:formatCode>
                <c:ptCount val="13"/>
                <c:pt idx="0">
                  <c:v>0.36284308187930298</c:v>
                </c:pt>
                <c:pt idx="1">
                  <c:v>4.1290402919889203E-2</c:v>
                </c:pt>
                <c:pt idx="2">
                  <c:v>2.8047458041647301E-2</c:v>
                </c:pt>
                <c:pt idx="3">
                  <c:v>2.6495756343948101E-2</c:v>
                </c:pt>
                <c:pt idx="4">
                  <c:v>2.44318842497015E-2</c:v>
                </c:pt>
                <c:pt idx="5">
                  <c:v>6.1466344819807901E-2</c:v>
                </c:pt>
                <c:pt idx="8">
                  <c:v>0.72241156098305526</c:v>
                </c:pt>
                <c:pt idx="10">
                  <c:v>0.23037589001255901</c:v>
                </c:pt>
                <c:pt idx="11">
                  <c:v>4.6772292627666801E-2</c:v>
                </c:pt>
                <c:pt idx="12">
                  <c:v>3.0675756204465599E-2</c:v>
                </c:pt>
              </c:numCache>
            </c:numRef>
          </c:yVal>
          <c:smooth val="0"/>
        </c:ser>
        <c:dLbls>
          <c:showLegendKey val="0"/>
          <c:showVal val="0"/>
          <c:showCatName val="0"/>
          <c:showSerName val="0"/>
          <c:showPercent val="0"/>
          <c:showBubbleSize val="0"/>
        </c:dLbls>
        <c:axId val="698394872"/>
        <c:axId val="698395264"/>
      </c:scatterChart>
      <c:valAx>
        <c:axId val="6983948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8395264"/>
        <c:crosses val="autoZero"/>
        <c:crossBetween val="midCat"/>
      </c:valAx>
      <c:valAx>
        <c:axId val="698395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83948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JBT05_SameDuration!$G$2:$G$14</c:f>
              <c:numCache>
                <c:formatCode>General</c:formatCode>
                <c:ptCount val="13"/>
                <c:pt idx="0">
                  <c:v>4376876.7416079901</c:v>
                </c:pt>
                <c:pt idx="1">
                  <c:v>1552270.7864620001</c:v>
                </c:pt>
                <c:pt idx="2">
                  <c:v>730402.55316789902</c:v>
                </c:pt>
                <c:pt idx="3">
                  <c:v>716101.52280940802</c:v>
                </c:pt>
                <c:pt idx="4">
                  <c:v>1141676.8340982001</c:v>
                </c:pt>
                <c:pt idx="5">
                  <c:v>1239240.8229799999</c:v>
                </c:pt>
                <c:pt idx="8">
                  <c:v>4260213.6098948997</c:v>
                </c:pt>
                <c:pt idx="10">
                  <c:v>2215152.7885822998</c:v>
                </c:pt>
                <c:pt idx="11">
                  <c:v>908199.85684789903</c:v>
                </c:pt>
                <c:pt idx="12">
                  <c:v>815844.57990600099</c:v>
                </c:pt>
              </c:numCache>
            </c:numRef>
          </c:xVal>
          <c:yVal>
            <c:numRef>
              <c:f>JBT05_SameDuration!$J$2:$J$14</c:f>
              <c:numCache>
                <c:formatCode>General</c:formatCode>
                <c:ptCount val="13"/>
                <c:pt idx="0">
                  <c:v>103.119216032284</c:v>
                </c:pt>
                <c:pt idx="1">
                  <c:v>33.653230650496198</c:v>
                </c:pt>
                <c:pt idx="2">
                  <c:v>10.839173889011599</c:v>
                </c:pt>
                <c:pt idx="3">
                  <c:v>7.5333880199549696</c:v>
                </c:pt>
                <c:pt idx="4">
                  <c:v>9.2475823561954194</c:v>
                </c:pt>
                <c:pt idx="5">
                  <c:v>15.7135736353864</c:v>
                </c:pt>
                <c:pt idx="8">
                  <c:v>101.6619746704569</c:v>
                </c:pt>
                <c:pt idx="10">
                  <c:v>65.457764902606996</c:v>
                </c:pt>
                <c:pt idx="11">
                  <c:v>21.61515659298</c:v>
                </c:pt>
                <c:pt idx="12">
                  <c:v>17.630401371768698</c:v>
                </c:pt>
              </c:numCache>
            </c:numRef>
          </c:yVal>
          <c:smooth val="0"/>
        </c:ser>
        <c:dLbls>
          <c:showLegendKey val="0"/>
          <c:showVal val="0"/>
          <c:showCatName val="0"/>
          <c:showSerName val="0"/>
          <c:showPercent val="0"/>
          <c:showBubbleSize val="0"/>
        </c:dLbls>
        <c:axId val="689928520"/>
        <c:axId val="689928912"/>
      </c:scatterChart>
      <c:valAx>
        <c:axId val="6899285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928912"/>
        <c:crosses val="autoZero"/>
        <c:crossBetween val="midCat"/>
      </c:valAx>
      <c:valAx>
        <c:axId val="689928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92852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JBT05_SameDuration!$G$2:$G$14</c:f>
              <c:numCache>
                <c:formatCode>General</c:formatCode>
                <c:ptCount val="13"/>
                <c:pt idx="0">
                  <c:v>4376876.7416079901</c:v>
                </c:pt>
                <c:pt idx="1">
                  <c:v>1552270.7864620001</c:v>
                </c:pt>
                <c:pt idx="2">
                  <c:v>730402.55316789902</c:v>
                </c:pt>
                <c:pt idx="3">
                  <c:v>716101.52280940802</c:v>
                </c:pt>
                <c:pt idx="4">
                  <c:v>1141676.8340982001</c:v>
                </c:pt>
                <c:pt idx="5">
                  <c:v>1239240.8229799999</c:v>
                </c:pt>
                <c:pt idx="8">
                  <c:v>4260213.6098948997</c:v>
                </c:pt>
                <c:pt idx="10">
                  <c:v>2215152.7885822998</c:v>
                </c:pt>
                <c:pt idx="11">
                  <c:v>908199.85684789903</c:v>
                </c:pt>
                <c:pt idx="12">
                  <c:v>815844.57990600099</c:v>
                </c:pt>
              </c:numCache>
            </c:numRef>
          </c:xVal>
          <c:yVal>
            <c:numRef>
              <c:f>JBT05_SameDuration!$H$2:$H$14</c:f>
              <c:numCache>
                <c:formatCode>General</c:formatCode>
                <c:ptCount val="13"/>
                <c:pt idx="0">
                  <c:v>0.57774772989225498</c:v>
                </c:pt>
                <c:pt idx="1">
                  <c:v>5.2156298425123197E-2</c:v>
                </c:pt>
                <c:pt idx="2">
                  <c:v>4.3824153190073899E-2</c:v>
                </c:pt>
                <c:pt idx="3">
                  <c:v>2.7498298475881301E-2</c:v>
                </c:pt>
                <c:pt idx="4">
                  <c:v>3.8931180042748599E-2</c:v>
                </c:pt>
                <c:pt idx="5">
                  <c:v>8.3772679633447894E-2</c:v>
                </c:pt>
                <c:pt idx="8">
                  <c:v>0.94245960839519682</c:v>
                </c:pt>
                <c:pt idx="10">
                  <c:v>0.30569108482435697</c:v>
                </c:pt>
                <c:pt idx="11">
                  <c:v>7.7923547717549793E-2</c:v>
                </c:pt>
                <c:pt idx="12">
                  <c:v>3.4918148019976801E-2</c:v>
                </c:pt>
              </c:numCache>
            </c:numRef>
          </c:yVal>
          <c:smooth val="0"/>
        </c:ser>
        <c:dLbls>
          <c:showLegendKey val="0"/>
          <c:showVal val="0"/>
          <c:showCatName val="0"/>
          <c:showSerName val="0"/>
          <c:showPercent val="0"/>
          <c:showBubbleSize val="0"/>
        </c:dLbls>
        <c:axId val="689929696"/>
        <c:axId val="689930088"/>
      </c:scatterChart>
      <c:valAx>
        <c:axId val="6899296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930088"/>
        <c:crosses val="autoZero"/>
        <c:crossBetween val="midCat"/>
      </c:valAx>
      <c:valAx>
        <c:axId val="689930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99296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JBT05_SameDuration!$G$2:$G$14</c:f>
              <c:numCache>
                <c:formatCode>General</c:formatCode>
                <c:ptCount val="13"/>
                <c:pt idx="0">
                  <c:v>4376876.7416079901</c:v>
                </c:pt>
                <c:pt idx="1">
                  <c:v>1552270.7864620001</c:v>
                </c:pt>
                <c:pt idx="2">
                  <c:v>730402.55316789902</c:v>
                </c:pt>
                <c:pt idx="3">
                  <c:v>716101.52280940802</c:v>
                </c:pt>
                <c:pt idx="4">
                  <c:v>1141676.8340982001</c:v>
                </c:pt>
                <c:pt idx="5">
                  <c:v>1239240.8229799999</c:v>
                </c:pt>
                <c:pt idx="8">
                  <c:v>4260213.6098948997</c:v>
                </c:pt>
                <c:pt idx="10">
                  <c:v>2215152.7885822998</c:v>
                </c:pt>
                <c:pt idx="11">
                  <c:v>908199.85684789903</c:v>
                </c:pt>
                <c:pt idx="12">
                  <c:v>815844.57990600099</c:v>
                </c:pt>
              </c:numCache>
            </c:numRef>
          </c:xVal>
          <c:yVal>
            <c:numRef>
              <c:f>JBT05_SameDuration!$I$2:$I$14</c:f>
              <c:numCache>
                <c:formatCode>General</c:formatCode>
                <c:ptCount val="13"/>
                <c:pt idx="0">
                  <c:v>0.36284308187930298</c:v>
                </c:pt>
                <c:pt idx="1">
                  <c:v>4.1290402919889203E-2</c:v>
                </c:pt>
                <c:pt idx="2">
                  <c:v>2.8047458041647301E-2</c:v>
                </c:pt>
                <c:pt idx="3">
                  <c:v>2.6495756343948101E-2</c:v>
                </c:pt>
                <c:pt idx="4">
                  <c:v>2.44318842497015E-2</c:v>
                </c:pt>
                <c:pt idx="5">
                  <c:v>6.1466344819807901E-2</c:v>
                </c:pt>
                <c:pt idx="8">
                  <c:v>0.72241156098305526</c:v>
                </c:pt>
                <c:pt idx="10">
                  <c:v>0.23037589001255901</c:v>
                </c:pt>
                <c:pt idx="11">
                  <c:v>4.6772292627666801E-2</c:v>
                </c:pt>
                <c:pt idx="12">
                  <c:v>3.0675756204465599E-2</c:v>
                </c:pt>
              </c:numCache>
            </c:numRef>
          </c:yVal>
          <c:smooth val="0"/>
        </c:ser>
        <c:dLbls>
          <c:showLegendKey val="0"/>
          <c:showVal val="0"/>
          <c:showCatName val="0"/>
          <c:showSerName val="0"/>
          <c:showPercent val="0"/>
          <c:showBubbleSize val="0"/>
        </c:dLbls>
        <c:axId val="712459336"/>
        <c:axId val="712459728"/>
      </c:scatterChart>
      <c:valAx>
        <c:axId val="7124593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2459728"/>
        <c:crosses val="autoZero"/>
        <c:crossBetween val="midCat"/>
      </c:valAx>
      <c:valAx>
        <c:axId val="7124597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24593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JBT05_SameDuration!$J$1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JBT05_SameDuration!$G$2:$G$14</c:f>
              <c:numCache>
                <c:formatCode>General</c:formatCode>
                <c:ptCount val="13"/>
                <c:pt idx="0">
                  <c:v>4376876.7416079901</c:v>
                </c:pt>
                <c:pt idx="1">
                  <c:v>1552270.7864620001</c:v>
                </c:pt>
                <c:pt idx="2">
                  <c:v>730402.55316789902</c:v>
                </c:pt>
                <c:pt idx="3">
                  <c:v>716101.52280940802</c:v>
                </c:pt>
                <c:pt idx="4">
                  <c:v>1141676.8340982001</c:v>
                </c:pt>
                <c:pt idx="5">
                  <c:v>1239240.8229799999</c:v>
                </c:pt>
                <c:pt idx="8">
                  <c:v>4260213.6098948997</c:v>
                </c:pt>
                <c:pt idx="10">
                  <c:v>2215152.7885822998</c:v>
                </c:pt>
                <c:pt idx="11">
                  <c:v>908199.85684789903</c:v>
                </c:pt>
                <c:pt idx="12">
                  <c:v>815844.57990600099</c:v>
                </c:pt>
              </c:numCache>
            </c:numRef>
          </c:xVal>
          <c:yVal>
            <c:numRef>
              <c:f>JBT05_SameDuration!$J$2:$J$14</c:f>
              <c:numCache>
                <c:formatCode>General</c:formatCode>
                <c:ptCount val="13"/>
                <c:pt idx="0">
                  <c:v>103.119216032284</c:v>
                </c:pt>
                <c:pt idx="1">
                  <c:v>33.653230650496198</c:v>
                </c:pt>
                <c:pt idx="2">
                  <c:v>10.839173889011599</c:v>
                </c:pt>
                <c:pt idx="3">
                  <c:v>7.5333880199549696</c:v>
                </c:pt>
                <c:pt idx="4">
                  <c:v>9.2475823561954194</c:v>
                </c:pt>
                <c:pt idx="5">
                  <c:v>15.7135736353864</c:v>
                </c:pt>
                <c:pt idx="8">
                  <c:v>101.6619746704569</c:v>
                </c:pt>
                <c:pt idx="10">
                  <c:v>65.457764902606996</c:v>
                </c:pt>
                <c:pt idx="11">
                  <c:v>21.61515659298</c:v>
                </c:pt>
                <c:pt idx="12">
                  <c:v>17.630401371768698</c:v>
                </c:pt>
              </c:numCache>
            </c:numRef>
          </c:yVal>
          <c:smooth val="0"/>
        </c:ser>
        <c:dLbls>
          <c:showLegendKey val="0"/>
          <c:showVal val="0"/>
          <c:showCatName val="0"/>
          <c:showSerName val="0"/>
          <c:showPercent val="0"/>
          <c:showBubbleSize val="0"/>
        </c:dLbls>
        <c:axId val="712460512"/>
        <c:axId val="584715040"/>
      </c:scatterChart>
      <c:valAx>
        <c:axId val="7124605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4715040"/>
        <c:crosses val="autoZero"/>
        <c:crossBetween val="midCat"/>
      </c:valAx>
      <c:valAx>
        <c:axId val="5847150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246051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'JBT06'!$H$1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34708070866141733"/>
                  <c:y val="-4.568591821949857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'JBT06'!$D$2:$D$20</c:f>
              <c:numCache>
                <c:formatCode>General</c:formatCode>
                <c:ptCount val="19"/>
                <c:pt idx="0">
                  <c:v>4552961.7378351996</c:v>
                </c:pt>
                <c:pt idx="1">
                  <c:v>5348812.2980119903</c:v>
                </c:pt>
                <c:pt idx="2">
                  <c:v>4346488.3012969997</c:v>
                </c:pt>
                <c:pt idx="3">
                  <c:v>1595472.6060115001</c:v>
                </c:pt>
                <c:pt idx="4">
                  <c:v>791831.63662020001</c:v>
                </c:pt>
                <c:pt idx="5">
                  <c:v>830542.19828220201</c:v>
                </c:pt>
                <c:pt idx="6">
                  <c:v>660187.15247791004</c:v>
                </c:pt>
                <c:pt idx="7">
                  <c:v>800847.45020179998</c:v>
                </c:pt>
                <c:pt idx="8">
                  <c:v>388917.11477142002</c:v>
                </c:pt>
                <c:pt idx="9">
                  <c:v>731175.16060539999</c:v>
                </c:pt>
                <c:pt idx="10">
                  <c:v>683096.29319999996</c:v>
                </c:pt>
                <c:pt idx="11">
                  <c:v>614744.69981999998</c:v>
                </c:pt>
                <c:pt idx="12">
                  <c:v>696659.28833999997</c:v>
                </c:pt>
                <c:pt idx="13">
                  <c:v>4446025.3260920001</c:v>
                </c:pt>
                <c:pt idx="14">
                  <c:v>5302544.8474909998</c:v>
                </c:pt>
                <c:pt idx="15">
                  <c:v>6061895.4788880004</c:v>
                </c:pt>
                <c:pt idx="16">
                  <c:v>5966569.1597869899</c:v>
                </c:pt>
                <c:pt idx="17">
                  <c:v>1206268.6273904</c:v>
                </c:pt>
                <c:pt idx="18">
                  <c:v>284804.66858931998</c:v>
                </c:pt>
              </c:numCache>
            </c:numRef>
          </c:xVal>
          <c:yVal>
            <c:numRef>
              <c:f>'JBT06'!$H$2:$H$20</c:f>
              <c:numCache>
                <c:formatCode>General</c:formatCode>
                <c:ptCount val="19"/>
                <c:pt idx="0">
                  <c:v>1.4615007178451001</c:v>
                </c:pt>
                <c:pt idx="1">
                  <c:v>0.80232184470179901</c:v>
                </c:pt>
                <c:pt idx="2">
                  <c:v>0.58677592067509499</c:v>
                </c:pt>
                <c:pt idx="3">
                  <c:v>0.28718506908206998</c:v>
                </c:pt>
                <c:pt idx="4">
                  <c:v>0.25892894517480602</c:v>
                </c:pt>
                <c:pt idx="5">
                  <c:v>5.6227706823705002E-2</c:v>
                </c:pt>
                <c:pt idx="6">
                  <c:v>9.1105827041951595E-2</c:v>
                </c:pt>
                <c:pt idx="7">
                  <c:v>3.7960169139565299E-2</c:v>
                </c:pt>
                <c:pt idx="8">
                  <c:v>1.7851295568008199E-2</c:v>
                </c:pt>
                <c:pt idx="9">
                  <c:v>0.30124416616942501</c:v>
                </c:pt>
                <c:pt idx="10">
                  <c:v>0.14345022157199999</c:v>
                </c:pt>
                <c:pt idx="11">
                  <c:v>0.25573379512512001</c:v>
                </c:pt>
                <c:pt idx="12">
                  <c:v>0.16301827347156</c:v>
                </c:pt>
                <c:pt idx="13">
                  <c:v>1.1826427367404699</c:v>
                </c:pt>
                <c:pt idx="14">
                  <c:v>0.71054100956379396</c:v>
                </c:pt>
                <c:pt idx="15">
                  <c:v>1.38211216918646</c:v>
                </c:pt>
                <c:pt idx="16">
                  <c:v>0.76372085245273502</c:v>
                </c:pt>
                <c:pt idx="17">
                  <c:v>0.10880543019061401</c:v>
                </c:pt>
                <c:pt idx="18">
                  <c:v>2.5689381106756701E-2</c:v>
                </c:pt>
              </c:numCache>
            </c:numRef>
          </c:yVal>
          <c:smooth val="0"/>
        </c:ser>
        <c:dLbls>
          <c:showLegendKey val="0"/>
          <c:showVal val="0"/>
          <c:showCatName val="0"/>
          <c:showSerName val="0"/>
          <c:showPercent val="0"/>
          <c:showBubbleSize val="0"/>
        </c:dLbls>
        <c:axId val="584715824"/>
        <c:axId val="584716216"/>
      </c:scatterChart>
      <c:valAx>
        <c:axId val="5847158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4716216"/>
        <c:crosses val="autoZero"/>
        <c:crossBetween val="midCat"/>
      </c:valAx>
      <c:valAx>
        <c:axId val="584716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47158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'JBT06'!$I$1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8500044666215751"/>
                  <c:y val="9.7376928493694385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'JBT06'!$D$2:$D$20</c:f>
              <c:numCache>
                <c:formatCode>General</c:formatCode>
                <c:ptCount val="19"/>
                <c:pt idx="0">
                  <c:v>4552961.7378351996</c:v>
                </c:pt>
                <c:pt idx="1">
                  <c:v>5348812.2980119903</c:v>
                </c:pt>
                <c:pt idx="2">
                  <c:v>4346488.3012969997</c:v>
                </c:pt>
                <c:pt idx="3">
                  <c:v>1595472.6060115001</c:v>
                </c:pt>
                <c:pt idx="4">
                  <c:v>791831.63662020001</c:v>
                </c:pt>
                <c:pt idx="5">
                  <c:v>830542.19828220201</c:v>
                </c:pt>
                <c:pt idx="6">
                  <c:v>660187.15247791004</c:v>
                </c:pt>
                <c:pt idx="7">
                  <c:v>800847.45020179998</c:v>
                </c:pt>
                <c:pt idx="8">
                  <c:v>388917.11477142002</c:v>
                </c:pt>
                <c:pt idx="9">
                  <c:v>731175.16060539999</c:v>
                </c:pt>
                <c:pt idx="10">
                  <c:v>683096.29319999996</c:v>
                </c:pt>
                <c:pt idx="11">
                  <c:v>614744.69981999998</c:v>
                </c:pt>
                <c:pt idx="12">
                  <c:v>696659.28833999997</c:v>
                </c:pt>
                <c:pt idx="13">
                  <c:v>4446025.3260920001</c:v>
                </c:pt>
                <c:pt idx="14">
                  <c:v>5302544.8474909998</c:v>
                </c:pt>
                <c:pt idx="15">
                  <c:v>6061895.4788880004</c:v>
                </c:pt>
                <c:pt idx="16">
                  <c:v>5966569.1597869899</c:v>
                </c:pt>
                <c:pt idx="17">
                  <c:v>1206268.6273904</c:v>
                </c:pt>
                <c:pt idx="18">
                  <c:v>284804.66858931998</c:v>
                </c:pt>
              </c:numCache>
            </c:numRef>
          </c:xVal>
          <c:yVal>
            <c:numRef>
              <c:f>'JBT06'!$I$2:$I$20</c:f>
              <c:numCache>
                <c:formatCode>General</c:formatCode>
                <c:ptCount val="19"/>
                <c:pt idx="0">
                  <c:v>0.74668572500497299</c:v>
                </c:pt>
                <c:pt idx="1">
                  <c:v>0.53488122980119901</c:v>
                </c:pt>
                <c:pt idx="2">
                  <c:v>0.42639050235723602</c:v>
                </c:pt>
                <c:pt idx="3">
                  <c:v>0.15348446469830601</c:v>
                </c:pt>
                <c:pt idx="4">
                  <c:v>5.1627422707637101E-2</c:v>
                </c:pt>
                <c:pt idx="5">
                  <c:v>3.1394495095067199E-2</c:v>
                </c:pt>
                <c:pt idx="6">
                  <c:v>5.86906378552862E-2</c:v>
                </c:pt>
                <c:pt idx="7">
                  <c:v>2.9150847187345501E-2</c:v>
                </c:pt>
                <c:pt idx="8">
                  <c:v>1.0617437233259801E-2</c:v>
                </c:pt>
                <c:pt idx="9">
                  <c:v>0.14038563083623701</c:v>
                </c:pt>
                <c:pt idx="10">
                  <c:v>0.1072461180324</c:v>
                </c:pt>
                <c:pt idx="11">
                  <c:v>0.13647332336004001</c:v>
                </c:pt>
                <c:pt idx="12">
                  <c:v>0.12748864976622001</c:v>
                </c:pt>
                <c:pt idx="13">
                  <c:v>0.77360840674000797</c:v>
                </c:pt>
                <c:pt idx="14">
                  <c:v>0.57797738837651902</c:v>
                </c:pt>
                <c:pt idx="15">
                  <c:v>0.83047968060765598</c:v>
                </c:pt>
                <c:pt idx="16">
                  <c:v>0.63245633093742104</c:v>
                </c:pt>
                <c:pt idx="17">
                  <c:v>4.7165103330964603E-2</c:v>
                </c:pt>
                <c:pt idx="18">
                  <c:v>1.1135862541842401E-2</c:v>
                </c:pt>
              </c:numCache>
            </c:numRef>
          </c:yVal>
          <c:smooth val="0"/>
        </c:ser>
        <c:dLbls>
          <c:showLegendKey val="0"/>
          <c:showVal val="0"/>
          <c:showCatName val="0"/>
          <c:showSerName val="0"/>
          <c:showPercent val="0"/>
          <c:showBubbleSize val="0"/>
        </c:dLbls>
        <c:axId val="722544200"/>
        <c:axId val="722544592"/>
      </c:scatterChart>
      <c:valAx>
        <c:axId val="7225442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544592"/>
        <c:crosses val="autoZero"/>
        <c:crossBetween val="midCat"/>
      </c:valAx>
      <c:valAx>
        <c:axId val="7225445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5442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'JBT06'!$J$1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0766900300628818"/>
                  <c:y val="-7.68526274641201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'JBT06'!$D$2:$D$20</c:f>
              <c:numCache>
                <c:formatCode>General</c:formatCode>
                <c:ptCount val="19"/>
                <c:pt idx="0">
                  <c:v>4552961.7378351996</c:v>
                </c:pt>
                <c:pt idx="1">
                  <c:v>5348812.2980119903</c:v>
                </c:pt>
                <c:pt idx="2">
                  <c:v>4346488.3012969997</c:v>
                </c:pt>
                <c:pt idx="3">
                  <c:v>1595472.6060115001</c:v>
                </c:pt>
                <c:pt idx="4">
                  <c:v>791831.63662020001</c:v>
                </c:pt>
                <c:pt idx="5">
                  <c:v>830542.19828220201</c:v>
                </c:pt>
                <c:pt idx="6">
                  <c:v>660187.15247791004</c:v>
                </c:pt>
                <c:pt idx="7">
                  <c:v>800847.45020179998</c:v>
                </c:pt>
                <c:pt idx="8">
                  <c:v>388917.11477142002</c:v>
                </c:pt>
                <c:pt idx="9">
                  <c:v>731175.16060539999</c:v>
                </c:pt>
                <c:pt idx="10">
                  <c:v>683096.29319999996</c:v>
                </c:pt>
                <c:pt idx="11">
                  <c:v>614744.69981999998</c:v>
                </c:pt>
                <c:pt idx="12">
                  <c:v>696659.28833999997</c:v>
                </c:pt>
                <c:pt idx="13">
                  <c:v>4446025.3260920001</c:v>
                </c:pt>
                <c:pt idx="14">
                  <c:v>5302544.8474909998</c:v>
                </c:pt>
                <c:pt idx="15">
                  <c:v>6061895.4788880004</c:v>
                </c:pt>
                <c:pt idx="16">
                  <c:v>5966569.1597869899</c:v>
                </c:pt>
                <c:pt idx="17">
                  <c:v>1206268.6273904</c:v>
                </c:pt>
                <c:pt idx="18">
                  <c:v>284804.66858931998</c:v>
                </c:pt>
              </c:numCache>
            </c:numRef>
          </c:xVal>
          <c:yVal>
            <c:numRef>
              <c:f>'JBT06'!$J$2:$J$20</c:f>
              <c:numCache>
                <c:formatCode>General</c:formatCode>
                <c:ptCount val="19"/>
                <c:pt idx="0">
                  <c:v>114.734635793447</c:v>
                </c:pt>
                <c:pt idx="1">
                  <c:v>150.83650680393799</c:v>
                </c:pt>
                <c:pt idx="2">
                  <c:v>58.8514515995614</c:v>
                </c:pt>
                <c:pt idx="3">
                  <c:v>41.5461066605395</c:v>
                </c:pt>
                <c:pt idx="4">
                  <c:v>16.660137634489001</c:v>
                </c:pt>
                <c:pt idx="5">
                  <c:v>18.703810305315201</c:v>
                </c:pt>
                <c:pt idx="6">
                  <c:v>17.079041634603499</c:v>
                </c:pt>
                <c:pt idx="7">
                  <c:v>20.781991332736698</c:v>
                </c:pt>
                <c:pt idx="8">
                  <c:v>8.9917636935152299</c:v>
                </c:pt>
                <c:pt idx="9">
                  <c:v>31.199244103032399</c:v>
                </c:pt>
                <c:pt idx="10">
                  <c:v>32.973058072763997</c:v>
                </c:pt>
                <c:pt idx="11">
                  <c:v>28.6655453526066</c:v>
                </c:pt>
                <c:pt idx="12">
                  <c:v>34.714532337982199</c:v>
                </c:pt>
                <c:pt idx="13">
                  <c:v>150.40903678169201</c:v>
                </c:pt>
                <c:pt idx="14">
                  <c:v>184.63461158963699</c:v>
                </c:pt>
                <c:pt idx="15">
                  <c:v>160.64023019053201</c:v>
                </c:pt>
                <c:pt idx="16">
                  <c:v>194.21182615106699</c:v>
                </c:pt>
                <c:pt idx="17">
                  <c:v>33.051760390496902</c:v>
                </c:pt>
                <c:pt idx="18">
                  <c:v>7.8036479193473696</c:v>
                </c:pt>
              </c:numCache>
            </c:numRef>
          </c:yVal>
          <c:smooth val="0"/>
        </c:ser>
        <c:dLbls>
          <c:showLegendKey val="0"/>
          <c:showVal val="0"/>
          <c:showCatName val="0"/>
          <c:showSerName val="0"/>
          <c:showPercent val="0"/>
          <c:showBubbleSize val="0"/>
        </c:dLbls>
        <c:axId val="722545376"/>
        <c:axId val="722545768"/>
      </c:scatterChart>
      <c:valAx>
        <c:axId val="7225453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545768"/>
        <c:crosses val="autoZero"/>
        <c:crossBetween val="midCat"/>
      </c:valAx>
      <c:valAx>
        <c:axId val="7225457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254537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'JBT06'!$H$1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6626137357830268"/>
                  <c:y val="-1.392105398589882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'JBT06'!$D$2:$D$20</c:f>
              <c:numCache>
                <c:formatCode>General</c:formatCode>
                <c:ptCount val="19"/>
                <c:pt idx="0">
                  <c:v>4552961.7378351996</c:v>
                </c:pt>
                <c:pt idx="1">
                  <c:v>5348812.2980119903</c:v>
                </c:pt>
                <c:pt idx="2">
                  <c:v>4346488.3012969997</c:v>
                </c:pt>
                <c:pt idx="3">
                  <c:v>1595472.6060115001</c:v>
                </c:pt>
                <c:pt idx="4">
                  <c:v>791831.63662020001</c:v>
                </c:pt>
                <c:pt idx="5">
                  <c:v>830542.19828220201</c:v>
                </c:pt>
                <c:pt idx="6">
                  <c:v>660187.15247791004</c:v>
                </c:pt>
                <c:pt idx="7">
                  <c:v>800847.45020179998</c:v>
                </c:pt>
                <c:pt idx="8">
                  <c:v>388917.11477142002</c:v>
                </c:pt>
                <c:pt idx="9">
                  <c:v>731175.16060539999</c:v>
                </c:pt>
                <c:pt idx="10">
                  <c:v>683096.29319999996</c:v>
                </c:pt>
                <c:pt idx="11">
                  <c:v>614744.69981999998</c:v>
                </c:pt>
                <c:pt idx="12">
                  <c:v>696659.28833999997</c:v>
                </c:pt>
                <c:pt idx="13">
                  <c:v>4446025.3260920001</c:v>
                </c:pt>
                <c:pt idx="14">
                  <c:v>5302544.8474909998</c:v>
                </c:pt>
                <c:pt idx="15">
                  <c:v>6061895.4788880004</c:v>
                </c:pt>
                <c:pt idx="16">
                  <c:v>5966569.1597869899</c:v>
                </c:pt>
                <c:pt idx="17">
                  <c:v>1206268.6273904</c:v>
                </c:pt>
                <c:pt idx="18">
                  <c:v>284804.66858931998</c:v>
                </c:pt>
              </c:numCache>
            </c:numRef>
          </c:xVal>
          <c:yVal>
            <c:numRef>
              <c:f>'JBT06'!$H$2:$H$20</c:f>
              <c:numCache>
                <c:formatCode>General</c:formatCode>
                <c:ptCount val="19"/>
                <c:pt idx="0">
                  <c:v>1.4615007178451001</c:v>
                </c:pt>
                <c:pt idx="1">
                  <c:v>0.80232184470179901</c:v>
                </c:pt>
                <c:pt idx="2">
                  <c:v>0.58677592067509499</c:v>
                </c:pt>
                <c:pt idx="3">
                  <c:v>0.28718506908206998</c:v>
                </c:pt>
                <c:pt idx="4">
                  <c:v>0.25892894517480602</c:v>
                </c:pt>
                <c:pt idx="5">
                  <c:v>5.6227706823705002E-2</c:v>
                </c:pt>
                <c:pt idx="6">
                  <c:v>9.1105827041951595E-2</c:v>
                </c:pt>
                <c:pt idx="7">
                  <c:v>3.7960169139565299E-2</c:v>
                </c:pt>
                <c:pt idx="8">
                  <c:v>1.7851295568008199E-2</c:v>
                </c:pt>
                <c:pt idx="9">
                  <c:v>0.30124416616942501</c:v>
                </c:pt>
                <c:pt idx="10">
                  <c:v>0.14345022157199999</c:v>
                </c:pt>
                <c:pt idx="11">
                  <c:v>0.25573379512512001</c:v>
                </c:pt>
                <c:pt idx="12">
                  <c:v>0.16301827347156</c:v>
                </c:pt>
                <c:pt idx="13">
                  <c:v>1.1826427367404699</c:v>
                </c:pt>
                <c:pt idx="14">
                  <c:v>0.71054100956379396</c:v>
                </c:pt>
                <c:pt idx="15">
                  <c:v>1.38211216918646</c:v>
                </c:pt>
                <c:pt idx="16">
                  <c:v>0.76372085245273502</c:v>
                </c:pt>
                <c:pt idx="17">
                  <c:v>0.10880543019061401</c:v>
                </c:pt>
                <c:pt idx="18">
                  <c:v>2.5689381106756701E-2</c:v>
                </c:pt>
              </c:numCache>
            </c:numRef>
          </c:yVal>
          <c:smooth val="0"/>
        </c:ser>
        <c:dLbls>
          <c:showLegendKey val="0"/>
          <c:showVal val="0"/>
          <c:showCatName val="0"/>
          <c:showSerName val="0"/>
          <c:showPercent val="0"/>
          <c:showBubbleSize val="0"/>
        </c:dLbls>
        <c:axId val="713392048"/>
        <c:axId val="713392440"/>
      </c:scatterChart>
      <c:valAx>
        <c:axId val="7133920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392440"/>
        <c:crosses val="autoZero"/>
        <c:crossBetween val="midCat"/>
      </c:valAx>
      <c:valAx>
        <c:axId val="713392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3920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'JBT06'!$I$1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5301773461461566"/>
                  <c:y val="5.035569105691056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'JBT06'!$D$2:$D$20</c:f>
              <c:numCache>
                <c:formatCode>General</c:formatCode>
                <c:ptCount val="19"/>
                <c:pt idx="0">
                  <c:v>4552961.7378351996</c:v>
                </c:pt>
                <c:pt idx="1">
                  <c:v>5348812.2980119903</c:v>
                </c:pt>
                <c:pt idx="2">
                  <c:v>4346488.3012969997</c:v>
                </c:pt>
                <c:pt idx="3">
                  <c:v>1595472.6060115001</c:v>
                </c:pt>
                <c:pt idx="4">
                  <c:v>791831.63662020001</c:v>
                </c:pt>
                <c:pt idx="5">
                  <c:v>830542.19828220201</c:v>
                </c:pt>
                <c:pt idx="6">
                  <c:v>660187.15247791004</c:v>
                </c:pt>
                <c:pt idx="7">
                  <c:v>800847.45020179998</c:v>
                </c:pt>
                <c:pt idx="8">
                  <c:v>388917.11477142002</c:v>
                </c:pt>
                <c:pt idx="9">
                  <c:v>731175.16060539999</c:v>
                </c:pt>
                <c:pt idx="10">
                  <c:v>683096.29319999996</c:v>
                </c:pt>
                <c:pt idx="11">
                  <c:v>614744.69981999998</c:v>
                </c:pt>
                <c:pt idx="12">
                  <c:v>696659.28833999997</c:v>
                </c:pt>
                <c:pt idx="13">
                  <c:v>4446025.3260920001</c:v>
                </c:pt>
                <c:pt idx="14">
                  <c:v>5302544.8474909998</c:v>
                </c:pt>
                <c:pt idx="15">
                  <c:v>6061895.4788880004</c:v>
                </c:pt>
                <c:pt idx="16">
                  <c:v>5966569.1597869899</c:v>
                </c:pt>
                <c:pt idx="17">
                  <c:v>1206268.6273904</c:v>
                </c:pt>
                <c:pt idx="18">
                  <c:v>284804.66858931998</c:v>
                </c:pt>
              </c:numCache>
            </c:numRef>
          </c:xVal>
          <c:yVal>
            <c:numRef>
              <c:f>'JBT06'!$I$2:$I$20</c:f>
              <c:numCache>
                <c:formatCode>General</c:formatCode>
                <c:ptCount val="19"/>
                <c:pt idx="0">
                  <c:v>0.74668572500497299</c:v>
                </c:pt>
                <c:pt idx="1">
                  <c:v>0.53488122980119901</c:v>
                </c:pt>
                <c:pt idx="2">
                  <c:v>0.42639050235723602</c:v>
                </c:pt>
                <c:pt idx="3">
                  <c:v>0.15348446469830601</c:v>
                </c:pt>
                <c:pt idx="4">
                  <c:v>5.1627422707637101E-2</c:v>
                </c:pt>
                <c:pt idx="5">
                  <c:v>3.1394495095067199E-2</c:v>
                </c:pt>
                <c:pt idx="6">
                  <c:v>5.86906378552862E-2</c:v>
                </c:pt>
                <c:pt idx="7">
                  <c:v>2.9150847187345501E-2</c:v>
                </c:pt>
                <c:pt idx="8">
                  <c:v>1.0617437233259801E-2</c:v>
                </c:pt>
                <c:pt idx="9">
                  <c:v>0.14038563083623701</c:v>
                </c:pt>
                <c:pt idx="10">
                  <c:v>0.1072461180324</c:v>
                </c:pt>
                <c:pt idx="11">
                  <c:v>0.13647332336004001</c:v>
                </c:pt>
                <c:pt idx="12">
                  <c:v>0.12748864976622001</c:v>
                </c:pt>
                <c:pt idx="13">
                  <c:v>0.77360840674000797</c:v>
                </c:pt>
                <c:pt idx="14">
                  <c:v>0.57797738837651902</c:v>
                </c:pt>
                <c:pt idx="15">
                  <c:v>0.83047968060765598</c:v>
                </c:pt>
                <c:pt idx="16">
                  <c:v>0.63245633093742104</c:v>
                </c:pt>
                <c:pt idx="17">
                  <c:v>4.7165103330964603E-2</c:v>
                </c:pt>
                <c:pt idx="18">
                  <c:v>1.1135862541842401E-2</c:v>
                </c:pt>
              </c:numCache>
            </c:numRef>
          </c:yVal>
          <c:smooth val="0"/>
        </c:ser>
        <c:dLbls>
          <c:showLegendKey val="0"/>
          <c:showVal val="0"/>
          <c:showCatName val="0"/>
          <c:showSerName val="0"/>
          <c:showPercent val="0"/>
          <c:showBubbleSize val="0"/>
        </c:dLbls>
        <c:axId val="713393224"/>
        <c:axId val="639919224"/>
      </c:scatterChart>
      <c:valAx>
        <c:axId val="7133932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9919224"/>
        <c:crosses val="autoZero"/>
        <c:crossBetween val="midCat"/>
      </c:valAx>
      <c:valAx>
        <c:axId val="6399192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3932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8.6631671041119858E-3"/>
                  <c:y val="0.29267100977198696"/>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'JBT02'!$C$2:$C$20</c:f>
              <c:numCache>
                <c:formatCode>General</c:formatCode>
                <c:ptCount val="19"/>
                <c:pt idx="0">
                  <c:v>142800</c:v>
                </c:pt>
                <c:pt idx="1">
                  <c:v>63500</c:v>
                </c:pt>
                <c:pt idx="2">
                  <c:v>60200</c:v>
                </c:pt>
                <c:pt idx="3">
                  <c:v>43800</c:v>
                </c:pt>
                <c:pt idx="4">
                  <c:v>35200</c:v>
                </c:pt>
                <c:pt idx="5">
                  <c:v>32300</c:v>
                </c:pt>
                <c:pt idx="6">
                  <c:v>32100</c:v>
                </c:pt>
                <c:pt idx="7">
                  <c:v>18400</c:v>
                </c:pt>
                <c:pt idx="8">
                  <c:v>33000</c:v>
                </c:pt>
                <c:pt idx="9">
                  <c:v>39400</c:v>
                </c:pt>
                <c:pt idx="10">
                  <c:v>39900</c:v>
                </c:pt>
                <c:pt idx="11">
                  <c:v>38600</c:v>
                </c:pt>
                <c:pt idx="12">
                  <c:v>38100</c:v>
                </c:pt>
                <c:pt idx="13">
                  <c:v>42800</c:v>
                </c:pt>
                <c:pt idx="14">
                  <c:v>59500</c:v>
                </c:pt>
                <c:pt idx="15">
                  <c:v>47400</c:v>
                </c:pt>
                <c:pt idx="16">
                  <c:v>50500</c:v>
                </c:pt>
                <c:pt idx="17">
                  <c:v>10200</c:v>
                </c:pt>
                <c:pt idx="18">
                  <c:v>1300</c:v>
                </c:pt>
              </c:numCache>
            </c:numRef>
          </c:xVal>
          <c:yVal>
            <c:numRef>
              <c:f>'JBT02'!$I$2:$I$20</c:f>
              <c:numCache>
                <c:formatCode>General</c:formatCode>
                <c:ptCount val="19"/>
                <c:pt idx="0">
                  <c:v>1.2252240000000001</c:v>
                </c:pt>
                <c:pt idx="1">
                  <c:v>0.54101999999999995</c:v>
                </c:pt>
                <c:pt idx="2">
                  <c:v>0.47437600000000002</c:v>
                </c:pt>
                <c:pt idx="3">
                  <c:v>0.35039999999999999</c:v>
                </c:pt>
                <c:pt idx="4">
                  <c:v>0.29075200000000001</c:v>
                </c:pt>
                <c:pt idx="5">
                  <c:v>0.28520899999999999</c:v>
                </c:pt>
                <c:pt idx="6">
                  <c:v>0.37813799999999997</c:v>
                </c:pt>
                <c:pt idx="7">
                  <c:v>0.21509600000000001</c:v>
                </c:pt>
                <c:pt idx="8">
                  <c:v>0.42437999999999998</c:v>
                </c:pt>
                <c:pt idx="9">
                  <c:v>0.99839599999999995</c:v>
                </c:pt>
                <c:pt idx="10">
                  <c:v>1.170666</c:v>
                </c:pt>
                <c:pt idx="11">
                  <c:v>1.0553239999999999</c:v>
                </c:pt>
                <c:pt idx="12">
                  <c:v>0.87363299999999999</c:v>
                </c:pt>
                <c:pt idx="13">
                  <c:v>0.42158000000000001</c:v>
                </c:pt>
                <c:pt idx="14">
                  <c:v>0.51646000000000003</c:v>
                </c:pt>
                <c:pt idx="15">
                  <c:v>0.340806</c:v>
                </c:pt>
                <c:pt idx="16">
                  <c:v>0.36713499999999999</c:v>
                </c:pt>
                <c:pt idx="17">
                  <c:v>8.1906000000000007E-2</c:v>
                </c:pt>
                <c:pt idx="18">
                  <c:v>1.0933E-2</c:v>
                </c:pt>
              </c:numCache>
            </c:numRef>
          </c:yVal>
          <c:smooth val="0"/>
        </c:ser>
        <c:dLbls>
          <c:showLegendKey val="0"/>
          <c:showVal val="0"/>
          <c:showCatName val="0"/>
          <c:showSerName val="0"/>
          <c:showPercent val="0"/>
          <c:showBubbleSize val="0"/>
        </c:dLbls>
        <c:axId val="723683488"/>
        <c:axId val="723688584"/>
      </c:scatterChart>
      <c:valAx>
        <c:axId val="7236834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3688584"/>
        <c:crosses val="autoZero"/>
        <c:crossBetween val="midCat"/>
      </c:valAx>
      <c:valAx>
        <c:axId val="723688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36834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'JBT06'!$J$1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2478008302274009"/>
                  <c:y val="-9.437929301390517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'JBT06'!$D$2:$D$20</c:f>
              <c:numCache>
                <c:formatCode>General</c:formatCode>
                <c:ptCount val="19"/>
                <c:pt idx="0">
                  <c:v>4552961.7378351996</c:v>
                </c:pt>
                <c:pt idx="1">
                  <c:v>5348812.2980119903</c:v>
                </c:pt>
                <c:pt idx="2">
                  <c:v>4346488.3012969997</c:v>
                </c:pt>
                <c:pt idx="3">
                  <c:v>1595472.6060115001</c:v>
                </c:pt>
                <c:pt idx="4">
                  <c:v>791831.63662020001</c:v>
                </c:pt>
                <c:pt idx="5">
                  <c:v>830542.19828220201</c:v>
                </c:pt>
                <c:pt idx="6">
                  <c:v>660187.15247791004</c:v>
                </c:pt>
                <c:pt idx="7">
                  <c:v>800847.45020179998</c:v>
                </c:pt>
                <c:pt idx="8">
                  <c:v>388917.11477142002</c:v>
                </c:pt>
                <c:pt idx="9">
                  <c:v>731175.16060539999</c:v>
                </c:pt>
                <c:pt idx="10">
                  <c:v>683096.29319999996</c:v>
                </c:pt>
                <c:pt idx="11">
                  <c:v>614744.69981999998</c:v>
                </c:pt>
                <c:pt idx="12">
                  <c:v>696659.28833999997</c:v>
                </c:pt>
                <c:pt idx="13">
                  <c:v>4446025.3260920001</c:v>
                </c:pt>
                <c:pt idx="14">
                  <c:v>5302544.8474909998</c:v>
                </c:pt>
                <c:pt idx="15">
                  <c:v>6061895.4788880004</c:v>
                </c:pt>
                <c:pt idx="16">
                  <c:v>5966569.1597869899</c:v>
                </c:pt>
                <c:pt idx="17">
                  <c:v>1206268.6273904</c:v>
                </c:pt>
                <c:pt idx="18">
                  <c:v>284804.66858931998</c:v>
                </c:pt>
              </c:numCache>
            </c:numRef>
          </c:xVal>
          <c:yVal>
            <c:numRef>
              <c:f>'JBT06'!$J$2:$J$20</c:f>
              <c:numCache>
                <c:formatCode>General</c:formatCode>
                <c:ptCount val="19"/>
                <c:pt idx="0">
                  <c:v>114.734635793447</c:v>
                </c:pt>
                <c:pt idx="1">
                  <c:v>150.83650680393799</c:v>
                </c:pt>
                <c:pt idx="2">
                  <c:v>58.8514515995614</c:v>
                </c:pt>
                <c:pt idx="3">
                  <c:v>41.5461066605395</c:v>
                </c:pt>
                <c:pt idx="4">
                  <c:v>16.660137634489001</c:v>
                </c:pt>
                <c:pt idx="5">
                  <c:v>18.703810305315201</c:v>
                </c:pt>
                <c:pt idx="6">
                  <c:v>17.079041634603499</c:v>
                </c:pt>
                <c:pt idx="7">
                  <c:v>20.781991332736698</c:v>
                </c:pt>
                <c:pt idx="8">
                  <c:v>8.9917636935152299</c:v>
                </c:pt>
                <c:pt idx="9">
                  <c:v>31.199244103032399</c:v>
                </c:pt>
                <c:pt idx="10">
                  <c:v>32.973058072763997</c:v>
                </c:pt>
                <c:pt idx="11">
                  <c:v>28.6655453526066</c:v>
                </c:pt>
                <c:pt idx="12">
                  <c:v>34.714532337982199</c:v>
                </c:pt>
                <c:pt idx="13">
                  <c:v>150.40903678169201</c:v>
                </c:pt>
                <c:pt idx="14">
                  <c:v>184.63461158963699</c:v>
                </c:pt>
                <c:pt idx="15">
                  <c:v>160.64023019053201</c:v>
                </c:pt>
                <c:pt idx="16">
                  <c:v>194.21182615106699</c:v>
                </c:pt>
                <c:pt idx="17">
                  <c:v>33.051760390496902</c:v>
                </c:pt>
                <c:pt idx="18">
                  <c:v>7.8036479193473696</c:v>
                </c:pt>
              </c:numCache>
            </c:numRef>
          </c:yVal>
          <c:smooth val="0"/>
        </c:ser>
        <c:dLbls>
          <c:showLegendKey val="0"/>
          <c:showVal val="0"/>
          <c:showCatName val="0"/>
          <c:showSerName val="0"/>
          <c:showPercent val="0"/>
          <c:showBubbleSize val="0"/>
        </c:dLbls>
        <c:axId val="639920008"/>
        <c:axId val="639920400"/>
      </c:scatterChart>
      <c:valAx>
        <c:axId val="6399200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9920400"/>
        <c:crosses val="autoZero"/>
        <c:crossBetween val="midCat"/>
      </c:valAx>
      <c:valAx>
        <c:axId val="6399204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99200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JBT06_SameDuration!$G$2:$G$14</c:f>
              <c:numCache>
                <c:formatCode>General</c:formatCode>
                <c:ptCount val="13"/>
                <c:pt idx="0">
                  <c:v>9695300.5993089899</c:v>
                </c:pt>
                <c:pt idx="1">
                  <c:v>1595472.6060115001</c:v>
                </c:pt>
                <c:pt idx="2">
                  <c:v>791831.63662020001</c:v>
                </c:pt>
                <c:pt idx="3">
                  <c:v>830542.19828220201</c:v>
                </c:pt>
                <c:pt idx="4">
                  <c:v>660187.15247791004</c:v>
                </c:pt>
                <c:pt idx="5">
                  <c:v>800847.45020179998</c:v>
                </c:pt>
                <c:pt idx="6">
                  <c:v>388917.11477142002</c:v>
                </c:pt>
                <c:pt idx="9">
                  <c:v>6061895.4788880004</c:v>
                </c:pt>
                <c:pt idx="10">
                  <c:v>5966569.1597869899</c:v>
                </c:pt>
                <c:pt idx="11">
                  <c:v>1206268.6273904</c:v>
                </c:pt>
              </c:numCache>
            </c:numRef>
          </c:xVal>
          <c:yVal>
            <c:numRef>
              <c:f>JBT06_SameDuration!$H$2:$H$14</c:f>
              <c:numCache>
                <c:formatCode>General</c:formatCode>
                <c:ptCount val="13"/>
                <c:pt idx="0">
                  <c:v>1.3890977653768939</c:v>
                </c:pt>
                <c:pt idx="1">
                  <c:v>0.28718506908206998</c:v>
                </c:pt>
                <c:pt idx="2">
                  <c:v>0.25892894517480602</c:v>
                </c:pt>
                <c:pt idx="3">
                  <c:v>5.6227706823705002E-2</c:v>
                </c:pt>
                <c:pt idx="4">
                  <c:v>9.1105827041951595E-2</c:v>
                </c:pt>
                <c:pt idx="5">
                  <c:v>3.7960169139565299E-2</c:v>
                </c:pt>
                <c:pt idx="6">
                  <c:v>1.7851295568008199E-2</c:v>
                </c:pt>
                <c:pt idx="9">
                  <c:v>1.38211216918646</c:v>
                </c:pt>
                <c:pt idx="10">
                  <c:v>0.76372085245273502</c:v>
                </c:pt>
                <c:pt idx="11">
                  <c:v>0.10880543019061401</c:v>
                </c:pt>
              </c:numCache>
            </c:numRef>
          </c:yVal>
          <c:smooth val="0"/>
        </c:ser>
        <c:dLbls>
          <c:showLegendKey val="0"/>
          <c:showVal val="0"/>
          <c:showCatName val="0"/>
          <c:showSerName val="0"/>
          <c:showPercent val="0"/>
          <c:showBubbleSize val="0"/>
        </c:dLbls>
        <c:axId val="639921184"/>
        <c:axId val="639921576"/>
      </c:scatterChart>
      <c:valAx>
        <c:axId val="6399211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9921576"/>
        <c:crosses val="autoZero"/>
        <c:crossBetween val="midCat"/>
      </c:valAx>
      <c:valAx>
        <c:axId val="639921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99211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JBT06_SameDuration!$G$2:$G$14</c:f>
              <c:numCache>
                <c:formatCode>General</c:formatCode>
                <c:ptCount val="13"/>
                <c:pt idx="0">
                  <c:v>9695300.5993089899</c:v>
                </c:pt>
                <c:pt idx="1">
                  <c:v>1595472.6060115001</c:v>
                </c:pt>
                <c:pt idx="2">
                  <c:v>791831.63662020001</c:v>
                </c:pt>
                <c:pt idx="3">
                  <c:v>830542.19828220201</c:v>
                </c:pt>
                <c:pt idx="4">
                  <c:v>660187.15247791004</c:v>
                </c:pt>
                <c:pt idx="5">
                  <c:v>800847.45020179998</c:v>
                </c:pt>
                <c:pt idx="6">
                  <c:v>388917.11477142002</c:v>
                </c:pt>
                <c:pt idx="9">
                  <c:v>6061895.4788880004</c:v>
                </c:pt>
                <c:pt idx="10">
                  <c:v>5966569.1597869899</c:v>
                </c:pt>
                <c:pt idx="11">
                  <c:v>1206268.6273904</c:v>
                </c:pt>
              </c:numCache>
            </c:numRef>
          </c:xVal>
          <c:yVal>
            <c:numRef>
              <c:f>JBT06_SameDuration!$I$2:$I$14</c:f>
              <c:numCache>
                <c:formatCode>General</c:formatCode>
                <c:ptCount val="13"/>
                <c:pt idx="0">
                  <c:v>0.96127173215843498</c:v>
                </c:pt>
                <c:pt idx="1">
                  <c:v>0.15348446469830601</c:v>
                </c:pt>
                <c:pt idx="2">
                  <c:v>5.1627422707637101E-2</c:v>
                </c:pt>
                <c:pt idx="3">
                  <c:v>3.1394495095067199E-2</c:v>
                </c:pt>
                <c:pt idx="4">
                  <c:v>5.86906378552862E-2</c:v>
                </c:pt>
                <c:pt idx="5">
                  <c:v>2.9150847187345501E-2</c:v>
                </c:pt>
                <c:pt idx="6">
                  <c:v>1.0617437233259801E-2</c:v>
                </c:pt>
                <c:pt idx="9">
                  <c:v>0.83047968060765598</c:v>
                </c:pt>
                <c:pt idx="10">
                  <c:v>0.63245633093742104</c:v>
                </c:pt>
                <c:pt idx="11">
                  <c:v>4.7165103330964603E-2</c:v>
                </c:pt>
              </c:numCache>
            </c:numRef>
          </c:yVal>
          <c:smooth val="0"/>
        </c:ser>
        <c:dLbls>
          <c:showLegendKey val="0"/>
          <c:showVal val="0"/>
          <c:showCatName val="0"/>
          <c:showSerName val="0"/>
          <c:showPercent val="0"/>
          <c:showBubbleSize val="0"/>
        </c:dLbls>
        <c:axId val="639922360"/>
        <c:axId val="639922752"/>
      </c:scatterChart>
      <c:valAx>
        <c:axId val="6399223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9922752"/>
        <c:crosses val="autoZero"/>
        <c:crossBetween val="midCat"/>
      </c:valAx>
      <c:valAx>
        <c:axId val="639922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99223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JBT06_SameDuration!$G$2:$G$14</c:f>
              <c:numCache>
                <c:formatCode>General</c:formatCode>
                <c:ptCount val="13"/>
                <c:pt idx="0">
                  <c:v>9695300.5993089899</c:v>
                </c:pt>
                <c:pt idx="1">
                  <c:v>1595472.6060115001</c:v>
                </c:pt>
                <c:pt idx="2">
                  <c:v>791831.63662020001</c:v>
                </c:pt>
                <c:pt idx="3">
                  <c:v>830542.19828220201</c:v>
                </c:pt>
                <c:pt idx="4">
                  <c:v>660187.15247791004</c:v>
                </c:pt>
                <c:pt idx="5">
                  <c:v>800847.45020179998</c:v>
                </c:pt>
                <c:pt idx="6">
                  <c:v>388917.11477142002</c:v>
                </c:pt>
                <c:pt idx="9">
                  <c:v>6061895.4788880004</c:v>
                </c:pt>
                <c:pt idx="10">
                  <c:v>5966569.1597869899</c:v>
                </c:pt>
                <c:pt idx="11">
                  <c:v>1206268.6273904</c:v>
                </c:pt>
              </c:numCache>
            </c:numRef>
          </c:xVal>
          <c:yVal>
            <c:numRef>
              <c:f>JBT06_SameDuration!$J$2:$J$14</c:f>
              <c:numCache>
                <c:formatCode>General</c:formatCode>
                <c:ptCount val="13"/>
                <c:pt idx="0">
                  <c:v>209.68795840349941</c:v>
                </c:pt>
                <c:pt idx="1">
                  <c:v>41.5461066605395</c:v>
                </c:pt>
                <c:pt idx="2">
                  <c:v>16.660137634489001</c:v>
                </c:pt>
                <c:pt idx="3">
                  <c:v>18.703810305315201</c:v>
                </c:pt>
                <c:pt idx="4">
                  <c:v>17.079041634603499</c:v>
                </c:pt>
                <c:pt idx="5">
                  <c:v>20.781991332736698</c:v>
                </c:pt>
                <c:pt idx="6">
                  <c:v>8.9917636935152299</c:v>
                </c:pt>
                <c:pt idx="9">
                  <c:v>160.64023019053201</c:v>
                </c:pt>
                <c:pt idx="10">
                  <c:v>194.21182615106699</c:v>
                </c:pt>
                <c:pt idx="11">
                  <c:v>33.051760390496902</c:v>
                </c:pt>
              </c:numCache>
            </c:numRef>
          </c:yVal>
          <c:smooth val="0"/>
        </c:ser>
        <c:dLbls>
          <c:showLegendKey val="0"/>
          <c:showVal val="0"/>
          <c:showCatName val="0"/>
          <c:showSerName val="0"/>
          <c:showPercent val="0"/>
          <c:showBubbleSize val="0"/>
        </c:dLbls>
        <c:axId val="453180272"/>
        <c:axId val="453180664"/>
      </c:scatterChart>
      <c:valAx>
        <c:axId val="4531802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3180664"/>
        <c:crosses val="autoZero"/>
        <c:crossBetween val="midCat"/>
      </c:valAx>
      <c:valAx>
        <c:axId val="4531806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31802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JBT06_SameDuration!$G$2:$G$14</c:f>
              <c:numCache>
                <c:formatCode>General</c:formatCode>
                <c:ptCount val="13"/>
                <c:pt idx="0">
                  <c:v>9695300.5993089899</c:v>
                </c:pt>
                <c:pt idx="1">
                  <c:v>1595472.6060115001</c:v>
                </c:pt>
                <c:pt idx="2">
                  <c:v>791831.63662020001</c:v>
                </c:pt>
                <c:pt idx="3">
                  <c:v>830542.19828220201</c:v>
                </c:pt>
                <c:pt idx="4">
                  <c:v>660187.15247791004</c:v>
                </c:pt>
                <c:pt idx="5">
                  <c:v>800847.45020179998</c:v>
                </c:pt>
                <c:pt idx="6">
                  <c:v>388917.11477142002</c:v>
                </c:pt>
                <c:pt idx="9">
                  <c:v>6061895.4788880004</c:v>
                </c:pt>
                <c:pt idx="10">
                  <c:v>5966569.1597869899</c:v>
                </c:pt>
                <c:pt idx="11">
                  <c:v>1206268.6273904</c:v>
                </c:pt>
              </c:numCache>
            </c:numRef>
          </c:xVal>
          <c:yVal>
            <c:numRef>
              <c:f>JBT06_SameDuration!$H$2:$H$14</c:f>
              <c:numCache>
                <c:formatCode>General</c:formatCode>
                <c:ptCount val="13"/>
                <c:pt idx="0">
                  <c:v>1.3890977653768939</c:v>
                </c:pt>
                <c:pt idx="1">
                  <c:v>0.28718506908206998</c:v>
                </c:pt>
                <c:pt idx="2">
                  <c:v>0.25892894517480602</c:v>
                </c:pt>
                <c:pt idx="3">
                  <c:v>5.6227706823705002E-2</c:v>
                </c:pt>
                <c:pt idx="4">
                  <c:v>9.1105827041951595E-2</c:v>
                </c:pt>
                <c:pt idx="5">
                  <c:v>3.7960169139565299E-2</c:v>
                </c:pt>
                <c:pt idx="6">
                  <c:v>1.7851295568008199E-2</c:v>
                </c:pt>
                <c:pt idx="9">
                  <c:v>1.38211216918646</c:v>
                </c:pt>
                <c:pt idx="10">
                  <c:v>0.76372085245273502</c:v>
                </c:pt>
                <c:pt idx="11">
                  <c:v>0.10880543019061401</c:v>
                </c:pt>
              </c:numCache>
            </c:numRef>
          </c:yVal>
          <c:smooth val="0"/>
        </c:ser>
        <c:dLbls>
          <c:showLegendKey val="0"/>
          <c:showVal val="0"/>
          <c:showCatName val="0"/>
          <c:showSerName val="0"/>
          <c:showPercent val="0"/>
          <c:showBubbleSize val="0"/>
        </c:dLbls>
        <c:axId val="453181448"/>
        <c:axId val="453181840"/>
      </c:scatterChart>
      <c:valAx>
        <c:axId val="4531814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3181840"/>
        <c:crosses val="autoZero"/>
        <c:crossBetween val="midCat"/>
      </c:valAx>
      <c:valAx>
        <c:axId val="453181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31814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JBT06_SameDuration!$G$2:$G$14</c:f>
              <c:numCache>
                <c:formatCode>General</c:formatCode>
                <c:ptCount val="13"/>
                <c:pt idx="0">
                  <c:v>9695300.5993089899</c:v>
                </c:pt>
                <c:pt idx="1">
                  <c:v>1595472.6060115001</c:v>
                </c:pt>
                <c:pt idx="2">
                  <c:v>791831.63662020001</c:v>
                </c:pt>
                <c:pt idx="3">
                  <c:v>830542.19828220201</c:v>
                </c:pt>
                <c:pt idx="4">
                  <c:v>660187.15247791004</c:v>
                </c:pt>
                <c:pt idx="5">
                  <c:v>800847.45020179998</c:v>
                </c:pt>
                <c:pt idx="6">
                  <c:v>388917.11477142002</c:v>
                </c:pt>
                <c:pt idx="9">
                  <c:v>6061895.4788880004</c:v>
                </c:pt>
                <c:pt idx="10">
                  <c:v>5966569.1597869899</c:v>
                </c:pt>
                <c:pt idx="11">
                  <c:v>1206268.6273904</c:v>
                </c:pt>
              </c:numCache>
            </c:numRef>
          </c:xVal>
          <c:yVal>
            <c:numRef>
              <c:f>JBT06_SameDuration!$I$2:$I$14</c:f>
              <c:numCache>
                <c:formatCode>General</c:formatCode>
                <c:ptCount val="13"/>
                <c:pt idx="0">
                  <c:v>0.96127173215843498</c:v>
                </c:pt>
                <c:pt idx="1">
                  <c:v>0.15348446469830601</c:v>
                </c:pt>
                <c:pt idx="2">
                  <c:v>5.1627422707637101E-2</c:v>
                </c:pt>
                <c:pt idx="3">
                  <c:v>3.1394495095067199E-2</c:v>
                </c:pt>
                <c:pt idx="4">
                  <c:v>5.86906378552862E-2</c:v>
                </c:pt>
                <c:pt idx="5">
                  <c:v>2.9150847187345501E-2</c:v>
                </c:pt>
                <c:pt idx="6">
                  <c:v>1.0617437233259801E-2</c:v>
                </c:pt>
                <c:pt idx="9">
                  <c:v>0.83047968060765598</c:v>
                </c:pt>
                <c:pt idx="10">
                  <c:v>0.63245633093742104</c:v>
                </c:pt>
                <c:pt idx="11">
                  <c:v>4.7165103330964603E-2</c:v>
                </c:pt>
              </c:numCache>
            </c:numRef>
          </c:yVal>
          <c:smooth val="0"/>
        </c:ser>
        <c:dLbls>
          <c:showLegendKey val="0"/>
          <c:showVal val="0"/>
          <c:showCatName val="0"/>
          <c:showSerName val="0"/>
          <c:showPercent val="0"/>
          <c:showBubbleSize val="0"/>
        </c:dLbls>
        <c:axId val="453182624"/>
        <c:axId val="453183016"/>
      </c:scatterChart>
      <c:valAx>
        <c:axId val="4531826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3183016"/>
        <c:crosses val="autoZero"/>
        <c:crossBetween val="midCat"/>
      </c:valAx>
      <c:valAx>
        <c:axId val="4531830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31826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JBT06_SameDuration!$J$1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JBT06_SameDuration!$G$2:$G$14</c:f>
              <c:numCache>
                <c:formatCode>General</c:formatCode>
                <c:ptCount val="13"/>
                <c:pt idx="0">
                  <c:v>9695300.5993089899</c:v>
                </c:pt>
                <c:pt idx="1">
                  <c:v>1595472.6060115001</c:v>
                </c:pt>
                <c:pt idx="2">
                  <c:v>791831.63662020001</c:v>
                </c:pt>
                <c:pt idx="3">
                  <c:v>830542.19828220201</c:v>
                </c:pt>
                <c:pt idx="4">
                  <c:v>660187.15247791004</c:v>
                </c:pt>
                <c:pt idx="5">
                  <c:v>800847.45020179998</c:v>
                </c:pt>
                <c:pt idx="6">
                  <c:v>388917.11477142002</c:v>
                </c:pt>
                <c:pt idx="9">
                  <c:v>6061895.4788880004</c:v>
                </c:pt>
                <c:pt idx="10">
                  <c:v>5966569.1597869899</c:v>
                </c:pt>
                <c:pt idx="11">
                  <c:v>1206268.6273904</c:v>
                </c:pt>
              </c:numCache>
            </c:numRef>
          </c:xVal>
          <c:yVal>
            <c:numRef>
              <c:f>JBT06_SameDuration!$J$2:$J$14</c:f>
              <c:numCache>
                <c:formatCode>General</c:formatCode>
                <c:ptCount val="13"/>
                <c:pt idx="0">
                  <c:v>209.68795840349941</c:v>
                </c:pt>
                <c:pt idx="1">
                  <c:v>41.5461066605395</c:v>
                </c:pt>
                <c:pt idx="2">
                  <c:v>16.660137634489001</c:v>
                </c:pt>
                <c:pt idx="3">
                  <c:v>18.703810305315201</c:v>
                </c:pt>
                <c:pt idx="4">
                  <c:v>17.079041634603499</c:v>
                </c:pt>
                <c:pt idx="5">
                  <c:v>20.781991332736698</c:v>
                </c:pt>
                <c:pt idx="6">
                  <c:v>8.9917636935152299</c:v>
                </c:pt>
                <c:pt idx="9">
                  <c:v>160.64023019053201</c:v>
                </c:pt>
                <c:pt idx="10">
                  <c:v>194.21182615106699</c:v>
                </c:pt>
                <c:pt idx="11">
                  <c:v>33.051760390496902</c:v>
                </c:pt>
              </c:numCache>
            </c:numRef>
          </c:yVal>
          <c:smooth val="0"/>
        </c:ser>
        <c:dLbls>
          <c:showLegendKey val="0"/>
          <c:showVal val="0"/>
          <c:showCatName val="0"/>
          <c:showSerName val="0"/>
          <c:showPercent val="0"/>
          <c:showBubbleSize val="0"/>
        </c:dLbls>
        <c:axId val="687562440"/>
        <c:axId val="687562832"/>
      </c:scatterChart>
      <c:valAx>
        <c:axId val="6875624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562832"/>
        <c:crosses val="autoZero"/>
        <c:crossBetween val="midCat"/>
      </c:valAx>
      <c:valAx>
        <c:axId val="6875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5624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34708070866141733"/>
                  <c:y val="-4.568591821949857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'JBT11'!$C$2:$C$23</c:f>
              <c:numCache>
                <c:formatCode>General</c:formatCode>
                <c:ptCount val="22"/>
                <c:pt idx="0">
                  <c:v>1554800</c:v>
                </c:pt>
                <c:pt idx="1">
                  <c:v>1987200</c:v>
                </c:pt>
                <c:pt idx="2">
                  <c:v>1085100</c:v>
                </c:pt>
                <c:pt idx="3">
                  <c:v>812500</c:v>
                </c:pt>
                <c:pt idx="4">
                  <c:v>139000</c:v>
                </c:pt>
                <c:pt idx="5">
                  <c:v>78500</c:v>
                </c:pt>
                <c:pt idx="6">
                  <c:v>63800</c:v>
                </c:pt>
                <c:pt idx="7">
                  <c:v>50100</c:v>
                </c:pt>
                <c:pt idx="8">
                  <c:v>2400</c:v>
                </c:pt>
                <c:pt idx="9">
                  <c:v>46000</c:v>
                </c:pt>
                <c:pt idx="10">
                  <c:v>50200</c:v>
                </c:pt>
                <c:pt idx="11">
                  <c:v>50800</c:v>
                </c:pt>
                <c:pt idx="12">
                  <c:v>49800</c:v>
                </c:pt>
                <c:pt idx="13">
                  <c:v>58800</c:v>
                </c:pt>
                <c:pt idx="14">
                  <c:v>60500</c:v>
                </c:pt>
                <c:pt idx="15">
                  <c:v>60700</c:v>
                </c:pt>
                <c:pt idx="16">
                  <c:v>59700</c:v>
                </c:pt>
                <c:pt idx="17">
                  <c:v>1505800</c:v>
                </c:pt>
                <c:pt idx="18">
                  <c:v>757700</c:v>
                </c:pt>
                <c:pt idx="19">
                  <c:v>1747600</c:v>
                </c:pt>
                <c:pt idx="20">
                  <c:v>468200</c:v>
                </c:pt>
                <c:pt idx="21">
                  <c:v>91500</c:v>
                </c:pt>
              </c:numCache>
            </c:numRef>
          </c:xVal>
          <c:yVal>
            <c:numRef>
              <c:f>'JBT11'!$G$2:$G$23</c:f>
              <c:numCache>
                <c:formatCode>General</c:formatCode>
                <c:ptCount val="22"/>
                <c:pt idx="0">
                  <c:v>7.2298200000000007E-2</c:v>
                </c:pt>
                <c:pt idx="1">
                  <c:v>5.7231360000000002E-2</c:v>
                </c:pt>
                <c:pt idx="2">
                  <c:v>4.23189E-2</c:v>
                </c:pt>
                <c:pt idx="3">
                  <c:v>2.5350000000000001E-2</c:v>
                </c:pt>
                <c:pt idx="4">
                  <c:v>3.2525999999999999E-2</c:v>
                </c:pt>
                <c:pt idx="5">
                  <c:v>1.42085E-3</c:v>
                </c:pt>
                <c:pt idx="6">
                  <c:v>1.1866800000000001E-3</c:v>
                </c:pt>
                <c:pt idx="7">
                  <c:v>2.4899700000000002E-3</c:v>
                </c:pt>
                <c:pt idx="8">
                  <c:v>1.6511999999999999E-4</c:v>
                </c:pt>
                <c:pt idx="9">
                  <c:v>2.8289999999999999E-3</c:v>
                </c:pt>
                <c:pt idx="10">
                  <c:v>4.5079600000000001E-3</c:v>
                </c:pt>
                <c:pt idx="11">
                  <c:v>3.9166799999999996E-3</c:v>
                </c:pt>
                <c:pt idx="12">
                  <c:v>4.0537200000000002E-3</c:v>
                </c:pt>
                <c:pt idx="13">
                  <c:v>1.7816399999999999E-3</c:v>
                </c:pt>
                <c:pt idx="14">
                  <c:v>1.5004E-3</c:v>
                </c:pt>
                <c:pt idx="15">
                  <c:v>1.4568000000000001E-3</c:v>
                </c:pt>
                <c:pt idx="16">
                  <c:v>1.39101E-3</c:v>
                </c:pt>
                <c:pt idx="17">
                  <c:v>3.192296E-2</c:v>
                </c:pt>
                <c:pt idx="18">
                  <c:v>2.129137E-2</c:v>
                </c:pt>
                <c:pt idx="19">
                  <c:v>0.11254544</c:v>
                </c:pt>
                <c:pt idx="20">
                  <c:v>1.21732E-2</c:v>
                </c:pt>
                <c:pt idx="21">
                  <c:v>5.40765E-3</c:v>
                </c:pt>
              </c:numCache>
            </c:numRef>
          </c:yVal>
          <c:smooth val="0"/>
        </c:ser>
        <c:dLbls>
          <c:showLegendKey val="0"/>
          <c:showVal val="0"/>
          <c:showCatName val="0"/>
          <c:showSerName val="0"/>
          <c:showPercent val="0"/>
          <c:showBubbleSize val="0"/>
        </c:dLbls>
        <c:axId val="687563616"/>
        <c:axId val="687564008"/>
      </c:scatterChart>
      <c:valAx>
        <c:axId val="6875636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564008"/>
        <c:crosses val="autoZero"/>
        <c:crossBetween val="midCat"/>
      </c:valAx>
      <c:valAx>
        <c:axId val="6875640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5636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8500044666215751"/>
                  <c:y val="9.7376928493694385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'JBT11'!$C$2:$C$23</c:f>
              <c:numCache>
                <c:formatCode>General</c:formatCode>
                <c:ptCount val="22"/>
                <c:pt idx="0">
                  <c:v>1554800</c:v>
                </c:pt>
                <c:pt idx="1">
                  <c:v>1987200</c:v>
                </c:pt>
                <c:pt idx="2">
                  <c:v>1085100</c:v>
                </c:pt>
                <c:pt idx="3">
                  <c:v>812500</c:v>
                </c:pt>
                <c:pt idx="4">
                  <c:v>139000</c:v>
                </c:pt>
                <c:pt idx="5">
                  <c:v>78500</c:v>
                </c:pt>
                <c:pt idx="6">
                  <c:v>63800</c:v>
                </c:pt>
                <c:pt idx="7">
                  <c:v>50100</c:v>
                </c:pt>
                <c:pt idx="8">
                  <c:v>2400</c:v>
                </c:pt>
                <c:pt idx="9">
                  <c:v>46000</c:v>
                </c:pt>
                <c:pt idx="10">
                  <c:v>50200</c:v>
                </c:pt>
                <c:pt idx="11">
                  <c:v>50800</c:v>
                </c:pt>
                <c:pt idx="12">
                  <c:v>49800</c:v>
                </c:pt>
                <c:pt idx="13">
                  <c:v>58800</c:v>
                </c:pt>
                <c:pt idx="14">
                  <c:v>60500</c:v>
                </c:pt>
                <c:pt idx="15">
                  <c:v>60700</c:v>
                </c:pt>
                <c:pt idx="16">
                  <c:v>59700</c:v>
                </c:pt>
                <c:pt idx="17">
                  <c:v>1505800</c:v>
                </c:pt>
                <c:pt idx="18">
                  <c:v>757700</c:v>
                </c:pt>
                <c:pt idx="19">
                  <c:v>1747600</c:v>
                </c:pt>
                <c:pt idx="20">
                  <c:v>468200</c:v>
                </c:pt>
                <c:pt idx="21">
                  <c:v>91500</c:v>
                </c:pt>
              </c:numCache>
            </c:numRef>
          </c:xVal>
          <c:yVal>
            <c:numRef>
              <c:f>'JBT11'!$H$2:$H$23</c:f>
              <c:numCache>
                <c:formatCode>General</c:formatCode>
                <c:ptCount val="22"/>
                <c:pt idx="0">
                  <c:v>2.5032280000000001E-2</c:v>
                </c:pt>
                <c:pt idx="1">
                  <c:v>2.38464E-2</c:v>
                </c:pt>
                <c:pt idx="2">
                  <c:v>1.399779E-2</c:v>
                </c:pt>
                <c:pt idx="3">
                  <c:v>1.8768750000000001E-2</c:v>
                </c:pt>
                <c:pt idx="4">
                  <c:v>4.0032000000000002E-3</c:v>
                </c:pt>
                <c:pt idx="5">
                  <c:v>7.5359999999999999E-4</c:v>
                </c:pt>
                <c:pt idx="6">
                  <c:v>4.147E-4</c:v>
                </c:pt>
                <c:pt idx="7">
                  <c:v>8.6171999999999996E-4</c:v>
                </c:pt>
                <c:pt idx="8">
                  <c:v>6.3360000000000003E-5</c:v>
                </c:pt>
                <c:pt idx="9">
                  <c:v>1.3431999999999999E-3</c:v>
                </c:pt>
                <c:pt idx="10">
                  <c:v>2.4096E-3</c:v>
                </c:pt>
                <c:pt idx="11">
                  <c:v>2.6111200000000002E-3</c:v>
                </c:pt>
                <c:pt idx="12">
                  <c:v>2.1911999999999999E-3</c:v>
                </c:pt>
                <c:pt idx="13">
                  <c:v>1.0525199999999999E-3</c:v>
                </c:pt>
                <c:pt idx="14">
                  <c:v>1.0829500000000001E-3</c:v>
                </c:pt>
                <c:pt idx="15">
                  <c:v>1.01976E-3</c:v>
                </c:pt>
                <c:pt idx="16">
                  <c:v>9.5520000000000002E-4</c:v>
                </c:pt>
                <c:pt idx="17">
                  <c:v>2.5297440000000001E-2</c:v>
                </c:pt>
                <c:pt idx="18">
                  <c:v>1.4775150000000001E-2</c:v>
                </c:pt>
                <c:pt idx="19">
                  <c:v>5.8544600000000002E-2</c:v>
                </c:pt>
                <c:pt idx="20">
                  <c:v>7.2102800000000003E-3</c:v>
                </c:pt>
                <c:pt idx="21">
                  <c:v>3.2207999999999998E-3</c:v>
                </c:pt>
              </c:numCache>
            </c:numRef>
          </c:yVal>
          <c:smooth val="0"/>
        </c:ser>
        <c:dLbls>
          <c:showLegendKey val="0"/>
          <c:showVal val="0"/>
          <c:showCatName val="0"/>
          <c:showSerName val="0"/>
          <c:showPercent val="0"/>
          <c:showBubbleSize val="0"/>
        </c:dLbls>
        <c:axId val="687564792"/>
        <c:axId val="687565184"/>
      </c:scatterChart>
      <c:valAx>
        <c:axId val="6875647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565184"/>
        <c:crosses val="autoZero"/>
        <c:crossBetween val="midCat"/>
      </c:valAx>
      <c:valAx>
        <c:axId val="687565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5647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0766900300628818"/>
                  <c:y val="-7.68526274641201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'JBT11'!$C$2:$C$23</c:f>
              <c:numCache>
                <c:formatCode>General</c:formatCode>
                <c:ptCount val="22"/>
                <c:pt idx="0">
                  <c:v>1554800</c:v>
                </c:pt>
                <c:pt idx="1">
                  <c:v>1987200</c:v>
                </c:pt>
                <c:pt idx="2">
                  <c:v>1085100</c:v>
                </c:pt>
                <c:pt idx="3">
                  <c:v>812500</c:v>
                </c:pt>
                <c:pt idx="4">
                  <c:v>139000</c:v>
                </c:pt>
                <c:pt idx="5">
                  <c:v>78500</c:v>
                </c:pt>
                <c:pt idx="6">
                  <c:v>63800</c:v>
                </c:pt>
                <c:pt idx="7">
                  <c:v>50100</c:v>
                </c:pt>
                <c:pt idx="8">
                  <c:v>2400</c:v>
                </c:pt>
                <c:pt idx="9">
                  <c:v>46000</c:v>
                </c:pt>
                <c:pt idx="10">
                  <c:v>50200</c:v>
                </c:pt>
                <c:pt idx="11">
                  <c:v>50800</c:v>
                </c:pt>
                <c:pt idx="12">
                  <c:v>49800</c:v>
                </c:pt>
                <c:pt idx="13">
                  <c:v>58800</c:v>
                </c:pt>
                <c:pt idx="14">
                  <c:v>60500</c:v>
                </c:pt>
                <c:pt idx="15">
                  <c:v>60700</c:v>
                </c:pt>
                <c:pt idx="16">
                  <c:v>59700</c:v>
                </c:pt>
                <c:pt idx="17">
                  <c:v>1505800</c:v>
                </c:pt>
                <c:pt idx="18">
                  <c:v>757700</c:v>
                </c:pt>
                <c:pt idx="19">
                  <c:v>1747600</c:v>
                </c:pt>
                <c:pt idx="20">
                  <c:v>468200</c:v>
                </c:pt>
                <c:pt idx="21">
                  <c:v>91500</c:v>
                </c:pt>
              </c:numCache>
            </c:numRef>
          </c:xVal>
          <c:yVal>
            <c:numRef>
              <c:f>'JBT11'!$I$2:$I$23</c:f>
              <c:numCache>
                <c:formatCode>General</c:formatCode>
                <c:ptCount val="22"/>
                <c:pt idx="0">
                  <c:v>3.1717919999999999</c:v>
                </c:pt>
                <c:pt idx="1">
                  <c:v>3.2391359999999998</c:v>
                </c:pt>
                <c:pt idx="2">
                  <c:v>1.6602030000000001</c:v>
                </c:pt>
                <c:pt idx="3">
                  <c:v>1.0075000000000001</c:v>
                </c:pt>
                <c:pt idx="4">
                  <c:v>0.17236000000000001</c:v>
                </c:pt>
                <c:pt idx="5">
                  <c:v>6.3585000000000003E-2</c:v>
                </c:pt>
                <c:pt idx="6">
                  <c:v>5.8057999999999998E-2</c:v>
                </c:pt>
                <c:pt idx="7">
                  <c:v>6.4629000000000006E-2</c:v>
                </c:pt>
                <c:pt idx="8">
                  <c:v>1.848E-3</c:v>
                </c:pt>
                <c:pt idx="9">
                  <c:v>6.8080000000000002E-2</c:v>
                </c:pt>
                <c:pt idx="10">
                  <c:v>7.9818E-2</c:v>
                </c:pt>
                <c:pt idx="11">
                  <c:v>7.8231999999999996E-2</c:v>
                </c:pt>
                <c:pt idx="12">
                  <c:v>7.5198000000000001E-2</c:v>
                </c:pt>
                <c:pt idx="13">
                  <c:v>6.5268000000000007E-2</c:v>
                </c:pt>
                <c:pt idx="14">
                  <c:v>6.1105E-2</c:v>
                </c:pt>
                <c:pt idx="15">
                  <c:v>6.3735E-2</c:v>
                </c:pt>
                <c:pt idx="16">
                  <c:v>6.3282000000000005E-2</c:v>
                </c:pt>
                <c:pt idx="17">
                  <c:v>1.7467280000000001</c:v>
                </c:pt>
                <c:pt idx="18">
                  <c:v>0.98501000000000005</c:v>
                </c:pt>
                <c:pt idx="19">
                  <c:v>2.132072</c:v>
                </c:pt>
                <c:pt idx="20">
                  <c:v>0.44947199999999998</c:v>
                </c:pt>
                <c:pt idx="21">
                  <c:v>0.11254500000000001</c:v>
                </c:pt>
              </c:numCache>
            </c:numRef>
          </c:yVal>
          <c:smooth val="0"/>
        </c:ser>
        <c:dLbls>
          <c:showLegendKey val="0"/>
          <c:showVal val="0"/>
          <c:showCatName val="0"/>
          <c:showSerName val="0"/>
          <c:showPercent val="0"/>
          <c:showBubbleSize val="0"/>
        </c:dLbls>
        <c:axId val="687565968"/>
        <c:axId val="591781736"/>
      </c:scatterChart>
      <c:valAx>
        <c:axId val="6875659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1781736"/>
        <c:crosses val="autoZero"/>
        <c:crossBetween val="midCat"/>
      </c:valAx>
      <c:valAx>
        <c:axId val="5917817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56596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5698337707786528"/>
                  <c:y val="-0.1353946706887883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'JBT02'!$C$2:$C$20</c:f>
              <c:numCache>
                <c:formatCode>General</c:formatCode>
                <c:ptCount val="19"/>
                <c:pt idx="0">
                  <c:v>142800</c:v>
                </c:pt>
                <c:pt idx="1">
                  <c:v>63500</c:v>
                </c:pt>
                <c:pt idx="2">
                  <c:v>60200</c:v>
                </c:pt>
                <c:pt idx="3">
                  <c:v>43800</c:v>
                </c:pt>
                <c:pt idx="4">
                  <c:v>35200</c:v>
                </c:pt>
                <c:pt idx="5">
                  <c:v>32300</c:v>
                </c:pt>
                <c:pt idx="6">
                  <c:v>32100</c:v>
                </c:pt>
                <c:pt idx="7">
                  <c:v>18400</c:v>
                </c:pt>
                <c:pt idx="8">
                  <c:v>33000</c:v>
                </c:pt>
                <c:pt idx="9">
                  <c:v>39400</c:v>
                </c:pt>
                <c:pt idx="10">
                  <c:v>39900</c:v>
                </c:pt>
                <c:pt idx="11">
                  <c:v>38600</c:v>
                </c:pt>
                <c:pt idx="12">
                  <c:v>38100</c:v>
                </c:pt>
                <c:pt idx="13">
                  <c:v>42800</c:v>
                </c:pt>
                <c:pt idx="14">
                  <c:v>59500</c:v>
                </c:pt>
                <c:pt idx="15">
                  <c:v>47400</c:v>
                </c:pt>
                <c:pt idx="16">
                  <c:v>50500</c:v>
                </c:pt>
                <c:pt idx="17">
                  <c:v>10200</c:v>
                </c:pt>
                <c:pt idx="18">
                  <c:v>1300</c:v>
                </c:pt>
              </c:numCache>
            </c:numRef>
          </c:xVal>
          <c:yVal>
            <c:numRef>
              <c:f>'JBT02'!$G$2:$G$20</c:f>
              <c:numCache>
                <c:formatCode>General</c:formatCode>
                <c:ptCount val="19"/>
                <c:pt idx="0">
                  <c:v>0.114954</c:v>
                </c:pt>
                <c:pt idx="1">
                  <c:v>3.71475E-2</c:v>
                </c:pt>
                <c:pt idx="2">
                  <c:v>5.2253599999999997E-2</c:v>
                </c:pt>
                <c:pt idx="3">
                  <c:v>3.8018400000000001E-2</c:v>
                </c:pt>
                <c:pt idx="4">
                  <c:v>3.8368E-3</c:v>
                </c:pt>
                <c:pt idx="5">
                  <c:v>2.5355500000000001E-3</c:v>
                </c:pt>
                <c:pt idx="6">
                  <c:v>2.1603299999999998E-3</c:v>
                </c:pt>
                <c:pt idx="7">
                  <c:v>8.832E-4</c:v>
                </c:pt>
                <c:pt idx="8">
                  <c:v>2.9997000000000001E-3</c:v>
                </c:pt>
                <c:pt idx="9">
                  <c:v>5.3978000000000003E-3</c:v>
                </c:pt>
                <c:pt idx="10">
                  <c:v>7.5411000000000002E-3</c:v>
                </c:pt>
                <c:pt idx="11">
                  <c:v>6.1760000000000001E-3</c:v>
                </c:pt>
                <c:pt idx="12">
                  <c:v>1.20015E-2</c:v>
                </c:pt>
                <c:pt idx="13">
                  <c:v>4.3655999999999999E-3</c:v>
                </c:pt>
                <c:pt idx="14">
                  <c:v>1.8028499999999999E-2</c:v>
                </c:pt>
                <c:pt idx="15">
                  <c:v>2.0571599999999999E-2</c:v>
                </c:pt>
                <c:pt idx="16">
                  <c:v>9.4435000000000005E-3</c:v>
                </c:pt>
                <c:pt idx="17">
                  <c:v>7.4562000000000001E-4</c:v>
                </c:pt>
                <c:pt idx="18">
                  <c:v>8.3070000000000003E-5</c:v>
                </c:pt>
              </c:numCache>
            </c:numRef>
          </c:yVal>
          <c:smooth val="0"/>
        </c:ser>
        <c:dLbls>
          <c:showLegendKey val="0"/>
          <c:showVal val="0"/>
          <c:showCatName val="0"/>
          <c:showSerName val="0"/>
          <c:showPercent val="0"/>
          <c:showBubbleSize val="0"/>
        </c:dLbls>
        <c:axId val="453423216"/>
        <c:axId val="725149272"/>
      </c:scatterChart>
      <c:valAx>
        <c:axId val="4534232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149272"/>
        <c:crosses val="autoZero"/>
        <c:crossBetween val="midCat"/>
      </c:valAx>
      <c:valAx>
        <c:axId val="7251492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34232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6626137357830268"/>
                  <c:y val="-1.392105398589882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'JBT11'!$C$2:$C$23</c:f>
              <c:numCache>
                <c:formatCode>General</c:formatCode>
                <c:ptCount val="22"/>
                <c:pt idx="0">
                  <c:v>1554800</c:v>
                </c:pt>
                <c:pt idx="1">
                  <c:v>1987200</c:v>
                </c:pt>
                <c:pt idx="2">
                  <c:v>1085100</c:v>
                </c:pt>
                <c:pt idx="3">
                  <c:v>812500</c:v>
                </c:pt>
                <c:pt idx="4">
                  <c:v>139000</c:v>
                </c:pt>
                <c:pt idx="5">
                  <c:v>78500</c:v>
                </c:pt>
                <c:pt idx="6">
                  <c:v>63800</c:v>
                </c:pt>
                <c:pt idx="7">
                  <c:v>50100</c:v>
                </c:pt>
                <c:pt idx="8">
                  <c:v>2400</c:v>
                </c:pt>
                <c:pt idx="9">
                  <c:v>46000</c:v>
                </c:pt>
                <c:pt idx="10">
                  <c:v>50200</c:v>
                </c:pt>
                <c:pt idx="11">
                  <c:v>50800</c:v>
                </c:pt>
                <c:pt idx="12">
                  <c:v>49800</c:v>
                </c:pt>
                <c:pt idx="13">
                  <c:v>58800</c:v>
                </c:pt>
                <c:pt idx="14">
                  <c:v>60500</c:v>
                </c:pt>
                <c:pt idx="15">
                  <c:v>60700</c:v>
                </c:pt>
                <c:pt idx="16">
                  <c:v>59700</c:v>
                </c:pt>
                <c:pt idx="17">
                  <c:v>1505800</c:v>
                </c:pt>
                <c:pt idx="18">
                  <c:v>757700</c:v>
                </c:pt>
                <c:pt idx="19">
                  <c:v>1747600</c:v>
                </c:pt>
                <c:pt idx="20">
                  <c:v>468200</c:v>
                </c:pt>
                <c:pt idx="21">
                  <c:v>91500</c:v>
                </c:pt>
              </c:numCache>
            </c:numRef>
          </c:xVal>
          <c:yVal>
            <c:numRef>
              <c:f>'JBT11'!$G$2:$G$23</c:f>
              <c:numCache>
                <c:formatCode>General</c:formatCode>
                <c:ptCount val="22"/>
                <c:pt idx="0">
                  <c:v>7.2298200000000007E-2</c:v>
                </c:pt>
                <c:pt idx="1">
                  <c:v>5.7231360000000002E-2</c:v>
                </c:pt>
                <c:pt idx="2">
                  <c:v>4.23189E-2</c:v>
                </c:pt>
                <c:pt idx="3">
                  <c:v>2.5350000000000001E-2</c:v>
                </c:pt>
                <c:pt idx="4">
                  <c:v>3.2525999999999999E-2</c:v>
                </c:pt>
                <c:pt idx="5">
                  <c:v>1.42085E-3</c:v>
                </c:pt>
                <c:pt idx="6">
                  <c:v>1.1866800000000001E-3</c:v>
                </c:pt>
                <c:pt idx="7">
                  <c:v>2.4899700000000002E-3</c:v>
                </c:pt>
                <c:pt idx="8">
                  <c:v>1.6511999999999999E-4</c:v>
                </c:pt>
                <c:pt idx="9">
                  <c:v>2.8289999999999999E-3</c:v>
                </c:pt>
                <c:pt idx="10">
                  <c:v>4.5079600000000001E-3</c:v>
                </c:pt>
                <c:pt idx="11">
                  <c:v>3.9166799999999996E-3</c:v>
                </c:pt>
                <c:pt idx="12">
                  <c:v>4.0537200000000002E-3</c:v>
                </c:pt>
                <c:pt idx="13">
                  <c:v>1.7816399999999999E-3</c:v>
                </c:pt>
                <c:pt idx="14">
                  <c:v>1.5004E-3</c:v>
                </c:pt>
                <c:pt idx="15">
                  <c:v>1.4568000000000001E-3</c:v>
                </c:pt>
                <c:pt idx="16">
                  <c:v>1.39101E-3</c:v>
                </c:pt>
                <c:pt idx="17">
                  <c:v>3.192296E-2</c:v>
                </c:pt>
                <c:pt idx="18">
                  <c:v>2.129137E-2</c:v>
                </c:pt>
                <c:pt idx="19">
                  <c:v>0.11254544</c:v>
                </c:pt>
                <c:pt idx="20">
                  <c:v>1.21732E-2</c:v>
                </c:pt>
                <c:pt idx="21">
                  <c:v>5.40765E-3</c:v>
                </c:pt>
              </c:numCache>
            </c:numRef>
          </c:yVal>
          <c:smooth val="0"/>
        </c:ser>
        <c:dLbls>
          <c:showLegendKey val="0"/>
          <c:showVal val="0"/>
          <c:showCatName val="0"/>
          <c:showSerName val="0"/>
          <c:showPercent val="0"/>
          <c:showBubbleSize val="0"/>
        </c:dLbls>
        <c:axId val="591782520"/>
        <c:axId val="591782912"/>
      </c:scatterChart>
      <c:valAx>
        <c:axId val="5917825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1782912"/>
        <c:crosses val="autoZero"/>
        <c:crossBetween val="midCat"/>
      </c:valAx>
      <c:valAx>
        <c:axId val="591782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178252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5301773461461566"/>
                  <c:y val="5.035569105691056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'JBT11'!$C$2:$C$23</c:f>
              <c:numCache>
                <c:formatCode>General</c:formatCode>
                <c:ptCount val="22"/>
                <c:pt idx="0">
                  <c:v>1554800</c:v>
                </c:pt>
                <c:pt idx="1">
                  <c:v>1987200</c:v>
                </c:pt>
                <c:pt idx="2">
                  <c:v>1085100</c:v>
                </c:pt>
                <c:pt idx="3">
                  <c:v>812500</c:v>
                </c:pt>
                <c:pt idx="4">
                  <c:v>139000</c:v>
                </c:pt>
                <c:pt idx="5">
                  <c:v>78500</c:v>
                </c:pt>
                <c:pt idx="6">
                  <c:v>63800</c:v>
                </c:pt>
                <c:pt idx="7">
                  <c:v>50100</c:v>
                </c:pt>
                <c:pt idx="8">
                  <c:v>2400</c:v>
                </c:pt>
                <c:pt idx="9">
                  <c:v>46000</c:v>
                </c:pt>
                <c:pt idx="10">
                  <c:v>50200</c:v>
                </c:pt>
                <c:pt idx="11">
                  <c:v>50800</c:v>
                </c:pt>
                <c:pt idx="12">
                  <c:v>49800</c:v>
                </c:pt>
                <c:pt idx="13">
                  <c:v>58800</c:v>
                </c:pt>
                <c:pt idx="14">
                  <c:v>60500</c:v>
                </c:pt>
                <c:pt idx="15">
                  <c:v>60700</c:v>
                </c:pt>
                <c:pt idx="16">
                  <c:v>59700</c:v>
                </c:pt>
                <c:pt idx="17">
                  <c:v>1505800</c:v>
                </c:pt>
                <c:pt idx="18">
                  <c:v>757700</c:v>
                </c:pt>
                <c:pt idx="19">
                  <c:v>1747600</c:v>
                </c:pt>
                <c:pt idx="20">
                  <c:v>468200</c:v>
                </c:pt>
                <c:pt idx="21">
                  <c:v>91500</c:v>
                </c:pt>
              </c:numCache>
            </c:numRef>
          </c:xVal>
          <c:yVal>
            <c:numRef>
              <c:f>'JBT11'!$H$2:$H$23</c:f>
              <c:numCache>
                <c:formatCode>General</c:formatCode>
                <c:ptCount val="22"/>
                <c:pt idx="0">
                  <c:v>2.5032280000000001E-2</c:v>
                </c:pt>
                <c:pt idx="1">
                  <c:v>2.38464E-2</c:v>
                </c:pt>
                <c:pt idx="2">
                  <c:v>1.399779E-2</c:v>
                </c:pt>
                <c:pt idx="3">
                  <c:v>1.8768750000000001E-2</c:v>
                </c:pt>
                <c:pt idx="4">
                  <c:v>4.0032000000000002E-3</c:v>
                </c:pt>
                <c:pt idx="5">
                  <c:v>7.5359999999999999E-4</c:v>
                </c:pt>
                <c:pt idx="6">
                  <c:v>4.147E-4</c:v>
                </c:pt>
                <c:pt idx="7">
                  <c:v>8.6171999999999996E-4</c:v>
                </c:pt>
                <c:pt idx="8">
                  <c:v>6.3360000000000003E-5</c:v>
                </c:pt>
                <c:pt idx="9">
                  <c:v>1.3431999999999999E-3</c:v>
                </c:pt>
                <c:pt idx="10">
                  <c:v>2.4096E-3</c:v>
                </c:pt>
                <c:pt idx="11">
                  <c:v>2.6111200000000002E-3</c:v>
                </c:pt>
                <c:pt idx="12">
                  <c:v>2.1911999999999999E-3</c:v>
                </c:pt>
                <c:pt idx="13">
                  <c:v>1.0525199999999999E-3</c:v>
                </c:pt>
                <c:pt idx="14">
                  <c:v>1.0829500000000001E-3</c:v>
                </c:pt>
                <c:pt idx="15">
                  <c:v>1.01976E-3</c:v>
                </c:pt>
                <c:pt idx="16">
                  <c:v>9.5520000000000002E-4</c:v>
                </c:pt>
                <c:pt idx="17">
                  <c:v>2.5297440000000001E-2</c:v>
                </c:pt>
                <c:pt idx="18">
                  <c:v>1.4775150000000001E-2</c:v>
                </c:pt>
                <c:pt idx="19">
                  <c:v>5.8544600000000002E-2</c:v>
                </c:pt>
                <c:pt idx="20">
                  <c:v>7.2102800000000003E-3</c:v>
                </c:pt>
                <c:pt idx="21">
                  <c:v>3.2207999999999998E-3</c:v>
                </c:pt>
              </c:numCache>
            </c:numRef>
          </c:yVal>
          <c:smooth val="0"/>
        </c:ser>
        <c:dLbls>
          <c:showLegendKey val="0"/>
          <c:showVal val="0"/>
          <c:showCatName val="0"/>
          <c:showSerName val="0"/>
          <c:showPercent val="0"/>
          <c:showBubbleSize val="0"/>
        </c:dLbls>
        <c:axId val="591783696"/>
        <c:axId val="591784088"/>
      </c:scatterChart>
      <c:valAx>
        <c:axId val="5917836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1784088"/>
        <c:crosses val="autoZero"/>
        <c:crossBetween val="midCat"/>
      </c:valAx>
      <c:valAx>
        <c:axId val="591784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17836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2478008302274009"/>
                  <c:y val="-9.437929301390517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'JBT11'!$C$2:$C$23</c:f>
              <c:numCache>
                <c:formatCode>General</c:formatCode>
                <c:ptCount val="22"/>
                <c:pt idx="0">
                  <c:v>1554800</c:v>
                </c:pt>
                <c:pt idx="1">
                  <c:v>1987200</c:v>
                </c:pt>
                <c:pt idx="2">
                  <c:v>1085100</c:v>
                </c:pt>
                <c:pt idx="3">
                  <c:v>812500</c:v>
                </c:pt>
                <c:pt idx="4">
                  <c:v>139000</c:v>
                </c:pt>
                <c:pt idx="5">
                  <c:v>78500</c:v>
                </c:pt>
                <c:pt idx="6">
                  <c:v>63800</c:v>
                </c:pt>
                <c:pt idx="7">
                  <c:v>50100</c:v>
                </c:pt>
                <c:pt idx="8">
                  <c:v>2400</c:v>
                </c:pt>
                <c:pt idx="9">
                  <c:v>46000</c:v>
                </c:pt>
                <c:pt idx="10">
                  <c:v>50200</c:v>
                </c:pt>
                <c:pt idx="11">
                  <c:v>50800</c:v>
                </c:pt>
                <c:pt idx="12">
                  <c:v>49800</c:v>
                </c:pt>
                <c:pt idx="13">
                  <c:v>58800</c:v>
                </c:pt>
                <c:pt idx="14">
                  <c:v>60500</c:v>
                </c:pt>
                <c:pt idx="15">
                  <c:v>60700</c:v>
                </c:pt>
                <c:pt idx="16">
                  <c:v>59700</c:v>
                </c:pt>
                <c:pt idx="17">
                  <c:v>1505800</c:v>
                </c:pt>
                <c:pt idx="18">
                  <c:v>757700</c:v>
                </c:pt>
                <c:pt idx="19">
                  <c:v>1747600</c:v>
                </c:pt>
                <c:pt idx="20">
                  <c:v>468200</c:v>
                </c:pt>
                <c:pt idx="21">
                  <c:v>91500</c:v>
                </c:pt>
              </c:numCache>
            </c:numRef>
          </c:xVal>
          <c:yVal>
            <c:numRef>
              <c:f>'JBT11'!$I$2:$I$23</c:f>
              <c:numCache>
                <c:formatCode>General</c:formatCode>
                <c:ptCount val="22"/>
                <c:pt idx="0">
                  <c:v>3.1717919999999999</c:v>
                </c:pt>
                <c:pt idx="1">
                  <c:v>3.2391359999999998</c:v>
                </c:pt>
                <c:pt idx="2">
                  <c:v>1.6602030000000001</c:v>
                </c:pt>
                <c:pt idx="3">
                  <c:v>1.0075000000000001</c:v>
                </c:pt>
                <c:pt idx="4">
                  <c:v>0.17236000000000001</c:v>
                </c:pt>
                <c:pt idx="5">
                  <c:v>6.3585000000000003E-2</c:v>
                </c:pt>
                <c:pt idx="6">
                  <c:v>5.8057999999999998E-2</c:v>
                </c:pt>
                <c:pt idx="7">
                  <c:v>6.4629000000000006E-2</c:v>
                </c:pt>
                <c:pt idx="8">
                  <c:v>1.848E-3</c:v>
                </c:pt>
                <c:pt idx="9">
                  <c:v>6.8080000000000002E-2</c:v>
                </c:pt>
                <c:pt idx="10">
                  <c:v>7.9818E-2</c:v>
                </c:pt>
                <c:pt idx="11">
                  <c:v>7.8231999999999996E-2</c:v>
                </c:pt>
                <c:pt idx="12">
                  <c:v>7.5198000000000001E-2</c:v>
                </c:pt>
                <c:pt idx="13">
                  <c:v>6.5268000000000007E-2</c:v>
                </c:pt>
                <c:pt idx="14">
                  <c:v>6.1105E-2</c:v>
                </c:pt>
                <c:pt idx="15">
                  <c:v>6.3735E-2</c:v>
                </c:pt>
                <c:pt idx="16">
                  <c:v>6.3282000000000005E-2</c:v>
                </c:pt>
                <c:pt idx="17">
                  <c:v>1.7467280000000001</c:v>
                </c:pt>
                <c:pt idx="18">
                  <c:v>0.98501000000000005</c:v>
                </c:pt>
                <c:pt idx="19">
                  <c:v>2.132072</c:v>
                </c:pt>
                <c:pt idx="20">
                  <c:v>0.44947199999999998</c:v>
                </c:pt>
                <c:pt idx="21">
                  <c:v>0.11254500000000001</c:v>
                </c:pt>
              </c:numCache>
            </c:numRef>
          </c:yVal>
          <c:smooth val="0"/>
        </c:ser>
        <c:dLbls>
          <c:showLegendKey val="0"/>
          <c:showVal val="0"/>
          <c:showCatName val="0"/>
          <c:showSerName val="0"/>
          <c:showPercent val="0"/>
          <c:showBubbleSize val="0"/>
        </c:dLbls>
        <c:axId val="591784872"/>
        <c:axId val="591785264"/>
      </c:scatterChart>
      <c:valAx>
        <c:axId val="5917848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1785264"/>
        <c:crosses val="autoZero"/>
        <c:crossBetween val="midCat"/>
      </c:valAx>
      <c:valAx>
        <c:axId val="591785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17848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41502439066996827"/>
                  <c:y val="-2.976608187134503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JBT11_SameDuration!$G$2:$G$14</c:f>
              <c:numCache>
                <c:formatCode>General</c:formatCode>
                <c:ptCount val="13"/>
                <c:pt idx="0">
                  <c:v>3072300</c:v>
                </c:pt>
                <c:pt idx="1">
                  <c:v>812500</c:v>
                </c:pt>
                <c:pt idx="2">
                  <c:v>139000</c:v>
                </c:pt>
                <c:pt idx="3">
                  <c:v>78500</c:v>
                </c:pt>
                <c:pt idx="4">
                  <c:v>63800</c:v>
                </c:pt>
                <c:pt idx="5">
                  <c:v>50100</c:v>
                </c:pt>
                <c:pt idx="6">
                  <c:v>2400</c:v>
                </c:pt>
                <c:pt idx="9">
                  <c:v>757700</c:v>
                </c:pt>
                <c:pt idx="10">
                  <c:v>1747600</c:v>
                </c:pt>
                <c:pt idx="11">
                  <c:v>468200</c:v>
                </c:pt>
                <c:pt idx="12">
                  <c:v>91500</c:v>
                </c:pt>
              </c:numCache>
            </c:numRef>
          </c:xVal>
          <c:yVal>
            <c:numRef>
              <c:f>JBT11_SameDuration!$H$2:$H$14</c:f>
              <c:numCache>
                <c:formatCode>General</c:formatCode>
                <c:ptCount val="13"/>
                <c:pt idx="0">
                  <c:v>9.9550260000000002E-2</c:v>
                </c:pt>
                <c:pt idx="1">
                  <c:v>2.5350000000000001E-2</c:v>
                </c:pt>
                <c:pt idx="2">
                  <c:v>3.2525999999999999E-2</c:v>
                </c:pt>
                <c:pt idx="3">
                  <c:v>1.42085E-3</c:v>
                </c:pt>
                <c:pt idx="4">
                  <c:v>1.1866800000000001E-3</c:v>
                </c:pt>
                <c:pt idx="5">
                  <c:v>2.4899700000000002E-3</c:v>
                </c:pt>
                <c:pt idx="6">
                  <c:v>1.6511999999999999E-4</c:v>
                </c:pt>
                <c:pt idx="9">
                  <c:v>2.129137E-2</c:v>
                </c:pt>
                <c:pt idx="10">
                  <c:v>0.11254544</c:v>
                </c:pt>
                <c:pt idx="11">
                  <c:v>1.21732E-2</c:v>
                </c:pt>
                <c:pt idx="12">
                  <c:v>5.40765E-3</c:v>
                </c:pt>
              </c:numCache>
            </c:numRef>
          </c:yVal>
          <c:smooth val="0"/>
        </c:ser>
        <c:dLbls>
          <c:showLegendKey val="0"/>
          <c:showVal val="0"/>
          <c:showCatName val="0"/>
          <c:showSerName val="0"/>
          <c:showPercent val="0"/>
          <c:showBubbleSize val="0"/>
        </c:dLbls>
        <c:axId val="725924224"/>
        <c:axId val="725924616"/>
      </c:scatterChart>
      <c:valAx>
        <c:axId val="7259242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924616"/>
        <c:crosses val="autoZero"/>
        <c:crossBetween val="midCat"/>
      </c:valAx>
      <c:valAx>
        <c:axId val="7259246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9242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4031557203436094"/>
                  <c:y val="7.01474420960537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JBT11_SameDuration!$G$2:$G$14</c:f>
              <c:numCache>
                <c:formatCode>General</c:formatCode>
                <c:ptCount val="13"/>
                <c:pt idx="0">
                  <c:v>3072300</c:v>
                </c:pt>
                <c:pt idx="1">
                  <c:v>812500</c:v>
                </c:pt>
                <c:pt idx="2">
                  <c:v>139000</c:v>
                </c:pt>
                <c:pt idx="3">
                  <c:v>78500</c:v>
                </c:pt>
                <c:pt idx="4">
                  <c:v>63800</c:v>
                </c:pt>
                <c:pt idx="5">
                  <c:v>50100</c:v>
                </c:pt>
                <c:pt idx="6">
                  <c:v>2400</c:v>
                </c:pt>
                <c:pt idx="9">
                  <c:v>757700</c:v>
                </c:pt>
                <c:pt idx="10">
                  <c:v>1747600</c:v>
                </c:pt>
                <c:pt idx="11">
                  <c:v>468200</c:v>
                </c:pt>
                <c:pt idx="12">
                  <c:v>91500</c:v>
                </c:pt>
              </c:numCache>
            </c:numRef>
          </c:xVal>
          <c:yVal>
            <c:numRef>
              <c:f>JBT11_SameDuration!$I$2:$I$14</c:f>
              <c:numCache>
                <c:formatCode>General</c:formatCode>
                <c:ptCount val="13"/>
                <c:pt idx="0">
                  <c:v>3.784419E-2</c:v>
                </c:pt>
                <c:pt idx="1">
                  <c:v>1.8768750000000001E-2</c:v>
                </c:pt>
                <c:pt idx="2">
                  <c:v>4.0032000000000002E-3</c:v>
                </c:pt>
                <c:pt idx="3">
                  <c:v>7.5359999999999999E-4</c:v>
                </c:pt>
                <c:pt idx="4">
                  <c:v>4.147E-4</c:v>
                </c:pt>
                <c:pt idx="5">
                  <c:v>8.6171999999999996E-4</c:v>
                </c:pt>
                <c:pt idx="6">
                  <c:v>6.3360000000000003E-5</c:v>
                </c:pt>
                <c:pt idx="9">
                  <c:v>1.4775150000000001E-2</c:v>
                </c:pt>
                <c:pt idx="10">
                  <c:v>5.8544600000000002E-2</c:v>
                </c:pt>
                <c:pt idx="11">
                  <c:v>7.2102800000000003E-3</c:v>
                </c:pt>
                <c:pt idx="12">
                  <c:v>3.2207999999999998E-3</c:v>
                </c:pt>
              </c:numCache>
            </c:numRef>
          </c:yVal>
          <c:smooth val="0"/>
        </c:ser>
        <c:dLbls>
          <c:showLegendKey val="0"/>
          <c:showVal val="0"/>
          <c:showCatName val="0"/>
          <c:showSerName val="0"/>
          <c:showPercent val="0"/>
          <c:showBubbleSize val="0"/>
        </c:dLbls>
        <c:axId val="725925400"/>
        <c:axId val="725925792"/>
      </c:scatterChart>
      <c:valAx>
        <c:axId val="7259254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925792"/>
        <c:crosses val="autoZero"/>
        <c:crossBetween val="midCat"/>
      </c:valAx>
      <c:valAx>
        <c:axId val="7259257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9254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JBT11_SameDuration!$G$2:$G$14</c:f>
              <c:numCache>
                <c:formatCode>General</c:formatCode>
                <c:ptCount val="13"/>
                <c:pt idx="0">
                  <c:v>3072300</c:v>
                </c:pt>
                <c:pt idx="1">
                  <c:v>812500</c:v>
                </c:pt>
                <c:pt idx="2">
                  <c:v>139000</c:v>
                </c:pt>
                <c:pt idx="3">
                  <c:v>78500</c:v>
                </c:pt>
                <c:pt idx="4">
                  <c:v>63800</c:v>
                </c:pt>
                <c:pt idx="5">
                  <c:v>50100</c:v>
                </c:pt>
                <c:pt idx="6">
                  <c:v>2400</c:v>
                </c:pt>
                <c:pt idx="9">
                  <c:v>757700</c:v>
                </c:pt>
                <c:pt idx="10">
                  <c:v>1747600</c:v>
                </c:pt>
                <c:pt idx="11">
                  <c:v>468200</c:v>
                </c:pt>
                <c:pt idx="12">
                  <c:v>91500</c:v>
                </c:pt>
              </c:numCache>
            </c:numRef>
          </c:xVal>
          <c:yVal>
            <c:numRef>
              <c:f>JBT11_SameDuration!$J$2:$J$14</c:f>
              <c:numCache>
                <c:formatCode>General</c:formatCode>
                <c:ptCount val="13"/>
                <c:pt idx="0">
                  <c:v>4.8993389999999994</c:v>
                </c:pt>
                <c:pt idx="1">
                  <c:v>1.0075000000000001</c:v>
                </c:pt>
                <c:pt idx="2">
                  <c:v>0.17236000000000001</c:v>
                </c:pt>
                <c:pt idx="3">
                  <c:v>6.3585000000000003E-2</c:v>
                </c:pt>
                <c:pt idx="4">
                  <c:v>5.8057999999999998E-2</c:v>
                </c:pt>
                <c:pt idx="5">
                  <c:v>6.4629000000000006E-2</c:v>
                </c:pt>
                <c:pt idx="6">
                  <c:v>1.848E-3</c:v>
                </c:pt>
                <c:pt idx="9">
                  <c:v>0.98501000000000005</c:v>
                </c:pt>
                <c:pt idx="10">
                  <c:v>2.132072</c:v>
                </c:pt>
                <c:pt idx="11">
                  <c:v>0.44947199999999998</c:v>
                </c:pt>
                <c:pt idx="12">
                  <c:v>0.11254500000000001</c:v>
                </c:pt>
              </c:numCache>
            </c:numRef>
          </c:yVal>
          <c:smooth val="0"/>
        </c:ser>
        <c:dLbls>
          <c:showLegendKey val="0"/>
          <c:showVal val="0"/>
          <c:showCatName val="0"/>
          <c:showSerName val="0"/>
          <c:showPercent val="0"/>
          <c:showBubbleSize val="0"/>
        </c:dLbls>
        <c:axId val="725926576"/>
        <c:axId val="725926968"/>
      </c:scatterChart>
      <c:valAx>
        <c:axId val="7259265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926968"/>
        <c:crosses val="autoZero"/>
        <c:crossBetween val="midCat"/>
      </c:valAx>
      <c:valAx>
        <c:axId val="7259269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92657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8621150481189853"/>
                  <c:y val="5.210526315789473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JBT11_SameDuration!$G$2:$G$14</c:f>
              <c:numCache>
                <c:formatCode>General</c:formatCode>
                <c:ptCount val="13"/>
                <c:pt idx="0">
                  <c:v>3072300</c:v>
                </c:pt>
                <c:pt idx="1">
                  <c:v>812500</c:v>
                </c:pt>
                <c:pt idx="2">
                  <c:v>139000</c:v>
                </c:pt>
                <c:pt idx="3">
                  <c:v>78500</c:v>
                </c:pt>
                <c:pt idx="4">
                  <c:v>63800</c:v>
                </c:pt>
                <c:pt idx="5">
                  <c:v>50100</c:v>
                </c:pt>
                <c:pt idx="6">
                  <c:v>2400</c:v>
                </c:pt>
                <c:pt idx="9">
                  <c:v>757700</c:v>
                </c:pt>
                <c:pt idx="10">
                  <c:v>1747600</c:v>
                </c:pt>
                <c:pt idx="11">
                  <c:v>468200</c:v>
                </c:pt>
                <c:pt idx="12">
                  <c:v>91500</c:v>
                </c:pt>
              </c:numCache>
            </c:numRef>
          </c:xVal>
          <c:yVal>
            <c:numRef>
              <c:f>JBT11_SameDuration!$H$2:$H$14</c:f>
              <c:numCache>
                <c:formatCode>General</c:formatCode>
                <c:ptCount val="13"/>
                <c:pt idx="0">
                  <c:v>9.9550260000000002E-2</c:v>
                </c:pt>
                <c:pt idx="1">
                  <c:v>2.5350000000000001E-2</c:v>
                </c:pt>
                <c:pt idx="2">
                  <c:v>3.2525999999999999E-2</c:v>
                </c:pt>
                <c:pt idx="3">
                  <c:v>1.42085E-3</c:v>
                </c:pt>
                <c:pt idx="4">
                  <c:v>1.1866800000000001E-3</c:v>
                </c:pt>
                <c:pt idx="5">
                  <c:v>2.4899700000000002E-3</c:v>
                </c:pt>
                <c:pt idx="6">
                  <c:v>1.6511999999999999E-4</c:v>
                </c:pt>
                <c:pt idx="9">
                  <c:v>2.129137E-2</c:v>
                </c:pt>
                <c:pt idx="10">
                  <c:v>0.11254544</c:v>
                </c:pt>
                <c:pt idx="11">
                  <c:v>1.21732E-2</c:v>
                </c:pt>
                <c:pt idx="12">
                  <c:v>5.40765E-3</c:v>
                </c:pt>
              </c:numCache>
            </c:numRef>
          </c:yVal>
          <c:smooth val="0"/>
        </c:ser>
        <c:dLbls>
          <c:showLegendKey val="0"/>
          <c:showVal val="0"/>
          <c:showCatName val="0"/>
          <c:showSerName val="0"/>
          <c:showPercent val="0"/>
          <c:showBubbleSize val="0"/>
        </c:dLbls>
        <c:axId val="687663816"/>
        <c:axId val="687664208"/>
      </c:scatterChart>
      <c:valAx>
        <c:axId val="6876638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664208"/>
        <c:crosses val="autoZero"/>
        <c:crossBetween val="midCat"/>
      </c:valAx>
      <c:valAx>
        <c:axId val="6876642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6638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9454483814523185"/>
                  <c:y val="7.494762845046845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JBT11_SameDuration!$G$2:$G$14</c:f>
              <c:numCache>
                <c:formatCode>General</c:formatCode>
                <c:ptCount val="13"/>
                <c:pt idx="0">
                  <c:v>3072300</c:v>
                </c:pt>
                <c:pt idx="1">
                  <c:v>812500</c:v>
                </c:pt>
                <c:pt idx="2">
                  <c:v>139000</c:v>
                </c:pt>
                <c:pt idx="3">
                  <c:v>78500</c:v>
                </c:pt>
                <c:pt idx="4">
                  <c:v>63800</c:v>
                </c:pt>
                <c:pt idx="5">
                  <c:v>50100</c:v>
                </c:pt>
                <c:pt idx="6">
                  <c:v>2400</c:v>
                </c:pt>
                <c:pt idx="9">
                  <c:v>757700</c:v>
                </c:pt>
                <c:pt idx="10">
                  <c:v>1747600</c:v>
                </c:pt>
                <c:pt idx="11">
                  <c:v>468200</c:v>
                </c:pt>
                <c:pt idx="12">
                  <c:v>91500</c:v>
                </c:pt>
              </c:numCache>
            </c:numRef>
          </c:xVal>
          <c:yVal>
            <c:numRef>
              <c:f>JBT11_SameDuration!$I$2:$I$14</c:f>
              <c:numCache>
                <c:formatCode>General</c:formatCode>
                <c:ptCount val="13"/>
                <c:pt idx="0">
                  <c:v>3.784419E-2</c:v>
                </c:pt>
                <c:pt idx="1">
                  <c:v>1.8768750000000001E-2</c:v>
                </c:pt>
                <c:pt idx="2">
                  <c:v>4.0032000000000002E-3</c:v>
                </c:pt>
                <c:pt idx="3">
                  <c:v>7.5359999999999999E-4</c:v>
                </c:pt>
                <c:pt idx="4">
                  <c:v>4.147E-4</c:v>
                </c:pt>
                <c:pt idx="5">
                  <c:v>8.6171999999999996E-4</c:v>
                </c:pt>
                <c:pt idx="6">
                  <c:v>6.3360000000000003E-5</c:v>
                </c:pt>
                <c:pt idx="9">
                  <c:v>1.4775150000000001E-2</c:v>
                </c:pt>
                <c:pt idx="10">
                  <c:v>5.8544600000000002E-2</c:v>
                </c:pt>
                <c:pt idx="11">
                  <c:v>7.2102800000000003E-3</c:v>
                </c:pt>
                <c:pt idx="12">
                  <c:v>3.2207999999999998E-3</c:v>
                </c:pt>
              </c:numCache>
            </c:numRef>
          </c:yVal>
          <c:smooth val="0"/>
        </c:ser>
        <c:dLbls>
          <c:showLegendKey val="0"/>
          <c:showVal val="0"/>
          <c:showCatName val="0"/>
          <c:showSerName val="0"/>
          <c:showPercent val="0"/>
          <c:showBubbleSize val="0"/>
        </c:dLbls>
        <c:axId val="687664992"/>
        <c:axId val="687665384"/>
      </c:scatterChart>
      <c:valAx>
        <c:axId val="6876649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665384"/>
        <c:crosses val="autoZero"/>
        <c:crossBetween val="midCat"/>
      </c:valAx>
      <c:valAx>
        <c:axId val="687665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6649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JBT11_SameDuration!$J$1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JBT11_SameDuration!$G$2:$G$14</c:f>
              <c:numCache>
                <c:formatCode>General</c:formatCode>
                <c:ptCount val="13"/>
                <c:pt idx="0">
                  <c:v>3072300</c:v>
                </c:pt>
                <c:pt idx="1">
                  <c:v>812500</c:v>
                </c:pt>
                <c:pt idx="2">
                  <c:v>139000</c:v>
                </c:pt>
                <c:pt idx="3">
                  <c:v>78500</c:v>
                </c:pt>
                <c:pt idx="4">
                  <c:v>63800</c:v>
                </c:pt>
                <c:pt idx="5">
                  <c:v>50100</c:v>
                </c:pt>
                <c:pt idx="6">
                  <c:v>2400</c:v>
                </c:pt>
                <c:pt idx="9">
                  <c:v>757700</c:v>
                </c:pt>
                <c:pt idx="10">
                  <c:v>1747600</c:v>
                </c:pt>
                <c:pt idx="11">
                  <c:v>468200</c:v>
                </c:pt>
                <c:pt idx="12">
                  <c:v>91500</c:v>
                </c:pt>
              </c:numCache>
            </c:numRef>
          </c:xVal>
          <c:yVal>
            <c:numRef>
              <c:f>JBT11_SameDuration!$J$2:$J$14</c:f>
              <c:numCache>
                <c:formatCode>General</c:formatCode>
                <c:ptCount val="13"/>
                <c:pt idx="0">
                  <c:v>4.8993389999999994</c:v>
                </c:pt>
                <c:pt idx="1">
                  <c:v>1.0075000000000001</c:v>
                </c:pt>
                <c:pt idx="2">
                  <c:v>0.17236000000000001</c:v>
                </c:pt>
                <c:pt idx="3">
                  <c:v>6.3585000000000003E-2</c:v>
                </c:pt>
                <c:pt idx="4">
                  <c:v>5.8057999999999998E-2</c:v>
                </c:pt>
                <c:pt idx="5">
                  <c:v>6.4629000000000006E-2</c:v>
                </c:pt>
                <c:pt idx="6">
                  <c:v>1.848E-3</c:v>
                </c:pt>
                <c:pt idx="9">
                  <c:v>0.98501000000000005</c:v>
                </c:pt>
                <c:pt idx="10">
                  <c:v>2.132072</c:v>
                </c:pt>
                <c:pt idx="11">
                  <c:v>0.44947199999999998</c:v>
                </c:pt>
                <c:pt idx="12">
                  <c:v>0.11254500000000001</c:v>
                </c:pt>
              </c:numCache>
            </c:numRef>
          </c:yVal>
          <c:smooth val="0"/>
        </c:ser>
        <c:dLbls>
          <c:showLegendKey val="0"/>
          <c:showVal val="0"/>
          <c:showCatName val="0"/>
          <c:showSerName val="0"/>
          <c:showPercent val="0"/>
          <c:showBubbleSize val="0"/>
        </c:dLbls>
        <c:axId val="687666168"/>
        <c:axId val="687666560"/>
      </c:scatterChart>
      <c:valAx>
        <c:axId val="6876661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666560"/>
        <c:crosses val="autoZero"/>
        <c:crossBetween val="midCat"/>
      </c:valAx>
      <c:valAx>
        <c:axId val="6876665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66616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'JBT14'!$H$1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34708070866141733"/>
                  <c:y val="-4.568591821949857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'JBT14'!$D$2:$D$20</c:f>
              <c:numCache>
                <c:formatCode>General</c:formatCode>
                <c:ptCount val="19"/>
                <c:pt idx="0">
                  <c:v>1545000</c:v>
                </c:pt>
                <c:pt idx="1">
                  <c:v>2743200</c:v>
                </c:pt>
                <c:pt idx="2">
                  <c:v>1021600</c:v>
                </c:pt>
                <c:pt idx="3">
                  <c:v>514300</c:v>
                </c:pt>
                <c:pt idx="4">
                  <c:v>458000</c:v>
                </c:pt>
                <c:pt idx="5">
                  <c:v>807800</c:v>
                </c:pt>
                <c:pt idx="6">
                  <c:v>821400</c:v>
                </c:pt>
                <c:pt idx="7">
                  <c:v>755800</c:v>
                </c:pt>
                <c:pt idx="8">
                  <c:v>784400</c:v>
                </c:pt>
                <c:pt idx="9">
                  <c:v>802800</c:v>
                </c:pt>
                <c:pt idx="10">
                  <c:v>809800</c:v>
                </c:pt>
                <c:pt idx="11">
                  <c:v>1180200</c:v>
                </c:pt>
                <c:pt idx="12">
                  <c:v>929800</c:v>
                </c:pt>
                <c:pt idx="13">
                  <c:v>1204000</c:v>
                </c:pt>
                <c:pt idx="14">
                  <c:v>360400</c:v>
                </c:pt>
                <c:pt idx="15">
                  <c:v>644200</c:v>
                </c:pt>
                <c:pt idx="16">
                  <c:v>1456900</c:v>
                </c:pt>
                <c:pt idx="17">
                  <c:v>653100</c:v>
                </c:pt>
                <c:pt idx="18">
                  <c:v>209000</c:v>
                </c:pt>
              </c:numCache>
            </c:numRef>
          </c:xVal>
          <c:yVal>
            <c:numRef>
              <c:f>'JBT14'!$H$2:$H$20</c:f>
              <c:numCache>
                <c:formatCode>General</c:formatCode>
                <c:ptCount val="19"/>
                <c:pt idx="0">
                  <c:v>0.52839000000000003</c:v>
                </c:pt>
                <c:pt idx="1">
                  <c:v>0.48554639999999999</c:v>
                </c:pt>
                <c:pt idx="2">
                  <c:v>4.428636</c:v>
                </c:pt>
                <c:pt idx="3">
                  <c:v>0.35486699999999999</c:v>
                </c:pt>
                <c:pt idx="4">
                  <c:v>3.5815600000000003E-2</c:v>
                </c:pt>
                <c:pt idx="5">
                  <c:v>0.1114764</c:v>
                </c:pt>
                <c:pt idx="6">
                  <c:v>6.0455040000000002E-2</c:v>
                </c:pt>
                <c:pt idx="7">
                  <c:v>0.14284620000000001</c:v>
                </c:pt>
                <c:pt idx="8">
                  <c:v>0.37808079999999999</c:v>
                </c:pt>
                <c:pt idx="9">
                  <c:v>0.49613040000000003</c:v>
                </c:pt>
                <c:pt idx="10">
                  <c:v>0.19921079999999999</c:v>
                </c:pt>
                <c:pt idx="11">
                  <c:v>0.5145672</c:v>
                </c:pt>
                <c:pt idx="12">
                  <c:v>0.20455599999999999</c:v>
                </c:pt>
                <c:pt idx="13">
                  <c:v>0.1154636</c:v>
                </c:pt>
                <c:pt idx="14">
                  <c:v>3.2580159999999997E-2</c:v>
                </c:pt>
                <c:pt idx="15">
                  <c:v>6.6352599999999998E-2</c:v>
                </c:pt>
                <c:pt idx="16">
                  <c:v>0.14860380000000001</c:v>
                </c:pt>
                <c:pt idx="17">
                  <c:v>5.1790830000000003E-2</c:v>
                </c:pt>
                <c:pt idx="18">
                  <c:v>1.5382399999999999E-2</c:v>
                </c:pt>
              </c:numCache>
            </c:numRef>
          </c:yVal>
          <c:smooth val="0"/>
        </c:ser>
        <c:dLbls>
          <c:showLegendKey val="0"/>
          <c:showVal val="0"/>
          <c:showCatName val="0"/>
          <c:showSerName val="0"/>
          <c:showPercent val="0"/>
          <c:showBubbleSize val="0"/>
        </c:dLbls>
        <c:axId val="687667344"/>
        <c:axId val="587411976"/>
      </c:scatterChart>
      <c:valAx>
        <c:axId val="6876673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411976"/>
        <c:crosses val="autoZero"/>
        <c:crossBetween val="midCat"/>
      </c:valAx>
      <c:valAx>
        <c:axId val="5874119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6673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5698337707786528"/>
                  <c:y val="-0.2672032549985305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'JBT02'!$C$2:$C$20</c:f>
              <c:numCache>
                <c:formatCode>General</c:formatCode>
                <c:ptCount val="19"/>
                <c:pt idx="0">
                  <c:v>142800</c:v>
                </c:pt>
                <c:pt idx="1">
                  <c:v>63500</c:v>
                </c:pt>
                <c:pt idx="2">
                  <c:v>60200</c:v>
                </c:pt>
                <c:pt idx="3">
                  <c:v>43800</c:v>
                </c:pt>
                <c:pt idx="4">
                  <c:v>35200</c:v>
                </c:pt>
                <c:pt idx="5">
                  <c:v>32300</c:v>
                </c:pt>
                <c:pt idx="6">
                  <c:v>32100</c:v>
                </c:pt>
                <c:pt idx="7">
                  <c:v>18400</c:v>
                </c:pt>
                <c:pt idx="8">
                  <c:v>33000</c:v>
                </c:pt>
                <c:pt idx="9">
                  <c:v>39400</c:v>
                </c:pt>
                <c:pt idx="10">
                  <c:v>39900</c:v>
                </c:pt>
                <c:pt idx="11">
                  <c:v>38600</c:v>
                </c:pt>
                <c:pt idx="12">
                  <c:v>38100</c:v>
                </c:pt>
                <c:pt idx="13">
                  <c:v>42800</c:v>
                </c:pt>
                <c:pt idx="14">
                  <c:v>59500</c:v>
                </c:pt>
                <c:pt idx="15">
                  <c:v>47400</c:v>
                </c:pt>
                <c:pt idx="16">
                  <c:v>50500</c:v>
                </c:pt>
                <c:pt idx="17">
                  <c:v>10200</c:v>
                </c:pt>
                <c:pt idx="18">
                  <c:v>1300</c:v>
                </c:pt>
              </c:numCache>
            </c:numRef>
          </c:xVal>
          <c:yVal>
            <c:numRef>
              <c:f>'JBT02'!$H$2:$H$20</c:f>
              <c:numCache>
                <c:formatCode>General</c:formatCode>
                <c:ptCount val="19"/>
                <c:pt idx="0">
                  <c:v>7.0257600000000003E-2</c:v>
                </c:pt>
                <c:pt idx="1">
                  <c:v>7.62E-3</c:v>
                </c:pt>
                <c:pt idx="2">
                  <c:v>7.3444000000000001E-3</c:v>
                </c:pt>
                <c:pt idx="3">
                  <c:v>6.8328E-3</c:v>
                </c:pt>
                <c:pt idx="4">
                  <c:v>1.3235199999999999E-3</c:v>
                </c:pt>
                <c:pt idx="5">
                  <c:v>9.7868999999999994E-4</c:v>
                </c:pt>
                <c:pt idx="6">
                  <c:v>9.0521999999999998E-4</c:v>
                </c:pt>
                <c:pt idx="7">
                  <c:v>5.2439999999999995E-4</c:v>
                </c:pt>
                <c:pt idx="8">
                  <c:v>1.3959E-3</c:v>
                </c:pt>
                <c:pt idx="9">
                  <c:v>2.4388600000000002E-3</c:v>
                </c:pt>
                <c:pt idx="10">
                  <c:v>3.2797799999999999E-3</c:v>
                </c:pt>
                <c:pt idx="11">
                  <c:v>3.6283999999999999E-3</c:v>
                </c:pt>
                <c:pt idx="12">
                  <c:v>4.0385999999999998E-3</c:v>
                </c:pt>
                <c:pt idx="13">
                  <c:v>2.5893999999999999E-3</c:v>
                </c:pt>
                <c:pt idx="14">
                  <c:v>7.0210000000000003E-3</c:v>
                </c:pt>
                <c:pt idx="15">
                  <c:v>9.2904000000000007E-3</c:v>
                </c:pt>
                <c:pt idx="16">
                  <c:v>5.9589999999999999E-3</c:v>
                </c:pt>
                <c:pt idx="17">
                  <c:v>7.1807999999999996E-4</c:v>
                </c:pt>
                <c:pt idx="18">
                  <c:v>5.1999999999999997E-5</c:v>
                </c:pt>
              </c:numCache>
            </c:numRef>
          </c:yVal>
          <c:smooth val="0"/>
        </c:ser>
        <c:dLbls>
          <c:showLegendKey val="0"/>
          <c:showVal val="0"/>
          <c:showCatName val="0"/>
          <c:showSerName val="0"/>
          <c:showPercent val="0"/>
          <c:showBubbleSize val="0"/>
        </c:dLbls>
        <c:axId val="725150056"/>
        <c:axId val="725150448"/>
      </c:scatterChart>
      <c:valAx>
        <c:axId val="7251500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150448"/>
        <c:crosses val="autoZero"/>
        <c:crossBetween val="midCat"/>
      </c:valAx>
      <c:valAx>
        <c:axId val="7251504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51500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'JBT14'!$I$1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8500044666215751"/>
                  <c:y val="9.7376928493694385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'JBT14'!$D$2:$D$20</c:f>
              <c:numCache>
                <c:formatCode>General</c:formatCode>
                <c:ptCount val="19"/>
                <c:pt idx="0">
                  <c:v>1545000</c:v>
                </c:pt>
                <c:pt idx="1">
                  <c:v>2743200</c:v>
                </c:pt>
                <c:pt idx="2">
                  <c:v>1021600</c:v>
                </c:pt>
                <c:pt idx="3">
                  <c:v>514300</c:v>
                </c:pt>
                <c:pt idx="4">
                  <c:v>458000</c:v>
                </c:pt>
                <c:pt idx="5">
                  <c:v>807800</c:v>
                </c:pt>
                <c:pt idx="6">
                  <c:v>821400</c:v>
                </c:pt>
                <c:pt idx="7">
                  <c:v>755800</c:v>
                </c:pt>
                <c:pt idx="8">
                  <c:v>784400</c:v>
                </c:pt>
                <c:pt idx="9">
                  <c:v>802800</c:v>
                </c:pt>
                <c:pt idx="10">
                  <c:v>809800</c:v>
                </c:pt>
                <c:pt idx="11">
                  <c:v>1180200</c:v>
                </c:pt>
                <c:pt idx="12">
                  <c:v>929800</c:v>
                </c:pt>
                <c:pt idx="13">
                  <c:v>1204000</c:v>
                </c:pt>
                <c:pt idx="14">
                  <c:v>360400</c:v>
                </c:pt>
                <c:pt idx="15">
                  <c:v>644200</c:v>
                </c:pt>
                <c:pt idx="16">
                  <c:v>1456900</c:v>
                </c:pt>
                <c:pt idx="17">
                  <c:v>653100</c:v>
                </c:pt>
                <c:pt idx="18">
                  <c:v>209000</c:v>
                </c:pt>
              </c:numCache>
            </c:numRef>
          </c:xVal>
          <c:yVal>
            <c:numRef>
              <c:f>'JBT14'!$I$2:$I$20</c:f>
              <c:numCache>
                <c:formatCode>General</c:formatCode>
                <c:ptCount val="19"/>
                <c:pt idx="0">
                  <c:v>9.1618500000000005E-2</c:v>
                </c:pt>
                <c:pt idx="1">
                  <c:v>0.14017752</c:v>
                </c:pt>
                <c:pt idx="2">
                  <c:v>1.675424</c:v>
                </c:pt>
                <c:pt idx="3">
                  <c:v>9.4116900000000003E-2</c:v>
                </c:pt>
                <c:pt idx="4">
                  <c:v>3.4670600000000003E-2</c:v>
                </c:pt>
                <c:pt idx="5">
                  <c:v>0.1155154</c:v>
                </c:pt>
                <c:pt idx="6">
                  <c:v>4.9366140000000003E-2</c:v>
                </c:pt>
                <c:pt idx="7">
                  <c:v>9.9765599999999996E-2</c:v>
                </c:pt>
                <c:pt idx="8">
                  <c:v>0.1631552</c:v>
                </c:pt>
                <c:pt idx="9">
                  <c:v>0.27696599999999999</c:v>
                </c:pt>
                <c:pt idx="10">
                  <c:v>0.17491680000000001</c:v>
                </c:pt>
                <c:pt idx="11">
                  <c:v>0.24784200000000001</c:v>
                </c:pt>
                <c:pt idx="12">
                  <c:v>0.1506276</c:v>
                </c:pt>
                <c:pt idx="13">
                  <c:v>0.1040256</c:v>
                </c:pt>
                <c:pt idx="14">
                  <c:v>2.6705639999999999E-2</c:v>
                </c:pt>
                <c:pt idx="15">
                  <c:v>5.6303079999999998E-2</c:v>
                </c:pt>
                <c:pt idx="16">
                  <c:v>0.12864427000000001</c:v>
                </c:pt>
                <c:pt idx="17">
                  <c:v>4.532514E-2</c:v>
                </c:pt>
                <c:pt idx="18">
                  <c:v>1.24773E-2</c:v>
                </c:pt>
              </c:numCache>
            </c:numRef>
          </c:yVal>
          <c:smooth val="0"/>
        </c:ser>
        <c:dLbls>
          <c:showLegendKey val="0"/>
          <c:showVal val="0"/>
          <c:showCatName val="0"/>
          <c:showSerName val="0"/>
          <c:showPercent val="0"/>
          <c:showBubbleSize val="0"/>
        </c:dLbls>
        <c:axId val="587412760"/>
        <c:axId val="587413152"/>
      </c:scatterChart>
      <c:valAx>
        <c:axId val="5874127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413152"/>
        <c:crosses val="autoZero"/>
        <c:crossBetween val="midCat"/>
      </c:valAx>
      <c:valAx>
        <c:axId val="5874131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4127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'JBT14'!$J$1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0766900300628818"/>
                  <c:y val="-7.68526274641201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'JBT14'!$D$2:$D$20</c:f>
              <c:numCache>
                <c:formatCode>General</c:formatCode>
                <c:ptCount val="19"/>
                <c:pt idx="0">
                  <c:v>1545000</c:v>
                </c:pt>
                <c:pt idx="1">
                  <c:v>2743200</c:v>
                </c:pt>
                <c:pt idx="2">
                  <c:v>1021600</c:v>
                </c:pt>
                <c:pt idx="3">
                  <c:v>514300</c:v>
                </c:pt>
                <c:pt idx="4">
                  <c:v>458000</c:v>
                </c:pt>
                <c:pt idx="5">
                  <c:v>807800</c:v>
                </c:pt>
                <c:pt idx="6">
                  <c:v>821400</c:v>
                </c:pt>
                <c:pt idx="7">
                  <c:v>755800</c:v>
                </c:pt>
                <c:pt idx="8">
                  <c:v>784400</c:v>
                </c:pt>
                <c:pt idx="9">
                  <c:v>802800</c:v>
                </c:pt>
                <c:pt idx="10">
                  <c:v>809800</c:v>
                </c:pt>
                <c:pt idx="11">
                  <c:v>1180200</c:v>
                </c:pt>
                <c:pt idx="12">
                  <c:v>929800</c:v>
                </c:pt>
                <c:pt idx="13">
                  <c:v>1204000</c:v>
                </c:pt>
                <c:pt idx="14">
                  <c:v>360400</c:v>
                </c:pt>
                <c:pt idx="15">
                  <c:v>644200</c:v>
                </c:pt>
                <c:pt idx="16">
                  <c:v>1456900</c:v>
                </c:pt>
                <c:pt idx="17">
                  <c:v>653100</c:v>
                </c:pt>
                <c:pt idx="18">
                  <c:v>209000</c:v>
                </c:pt>
              </c:numCache>
            </c:numRef>
          </c:xVal>
          <c:yVal>
            <c:numRef>
              <c:f>'JBT14'!$J$2:$J$20</c:f>
              <c:numCache>
                <c:formatCode>General</c:formatCode>
                <c:ptCount val="19"/>
                <c:pt idx="0">
                  <c:v>11.124000000000001</c:v>
                </c:pt>
                <c:pt idx="1">
                  <c:v>19.531583999999999</c:v>
                </c:pt>
                <c:pt idx="2">
                  <c:v>52.316136</c:v>
                </c:pt>
                <c:pt idx="3">
                  <c:v>4.9681379999999997</c:v>
                </c:pt>
                <c:pt idx="4">
                  <c:v>3.5357599999999998</c:v>
                </c:pt>
                <c:pt idx="5">
                  <c:v>16.11561</c:v>
                </c:pt>
                <c:pt idx="6">
                  <c:v>8.1236460000000008</c:v>
                </c:pt>
                <c:pt idx="7">
                  <c:v>8.978904</c:v>
                </c:pt>
                <c:pt idx="8">
                  <c:v>25.061579999999999</c:v>
                </c:pt>
                <c:pt idx="9">
                  <c:v>18.2637</c:v>
                </c:pt>
                <c:pt idx="10">
                  <c:v>16.123118000000002</c:v>
                </c:pt>
                <c:pt idx="11">
                  <c:v>67.117974000000004</c:v>
                </c:pt>
                <c:pt idx="12">
                  <c:v>31.827054</c:v>
                </c:pt>
                <c:pt idx="13">
                  <c:v>20.239239999999999</c:v>
                </c:pt>
                <c:pt idx="14">
                  <c:v>5.0708279999999997</c:v>
                </c:pt>
                <c:pt idx="15">
                  <c:v>8.6000700000000005</c:v>
                </c:pt>
                <c:pt idx="16">
                  <c:v>21.664103000000001</c:v>
                </c:pt>
                <c:pt idx="17">
                  <c:v>8.4249899999999993</c:v>
                </c:pt>
                <c:pt idx="18">
                  <c:v>2.4662000000000002</c:v>
                </c:pt>
              </c:numCache>
            </c:numRef>
          </c:yVal>
          <c:smooth val="0"/>
        </c:ser>
        <c:dLbls>
          <c:showLegendKey val="0"/>
          <c:showVal val="0"/>
          <c:showCatName val="0"/>
          <c:showSerName val="0"/>
          <c:showPercent val="0"/>
          <c:showBubbleSize val="0"/>
        </c:dLbls>
        <c:axId val="587413936"/>
        <c:axId val="587414328"/>
      </c:scatterChart>
      <c:valAx>
        <c:axId val="5874139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414328"/>
        <c:crosses val="autoZero"/>
        <c:crossBetween val="midCat"/>
      </c:valAx>
      <c:valAx>
        <c:axId val="5874143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4139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'JBT14'!$H$1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6626137357830268"/>
                  <c:y val="-1.392105398589882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'JBT14'!$D$2:$D$20</c:f>
              <c:numCache>
                <c:formatCode>General</c:formatCode>
                <c:ptCount val="19"/>
                <c:pt idx="0">
                  <c:v>1545000</c:v>
                </c:pt>
                <c:pt idx="1">
                  <c:v>2743200</c:v>
                </c:pt>
                <c:pt idx="2">
                  <c:v>1021600</c:v>
                </c:pt>
                <c:pt idx="3">
                  <c:v>514300</c:v>
                </c:pt>
                <c:pt idx="4">
                  <c:v>458000</c:v>
                </c:pt>
                <c:pt idx="5">
                  <c:v>807800</c:v>
                </c:pt>
                <c:pt idx="6">
                  <c:v>821400</c:v>
                </c:pt>
                <c:pt idx="7">
                  <c:v>755800</c:v>
                </c:pt>
                <c:pt idx="8">
                  <c:v>784400</c:v>
                </c:pt>
                <c:pt idx="9">
                  <c:v>802800</c:v>
                </c:pt>
                <c:pt idx="10">
                  <c:v>809800</c:v>
                </c:pt>
                <c:pt idx="11">
                  <c:v>1180200</c:v>
                </c:pt>
                <c:pt idx="12">
                  <c:v>929800</c:v>
                </c:pt>
                <c:pt idx="13">
                  <c:v>1204000</c:v>
                </c:pt>
                <c:pt idx="14">
                  <c:v>360400</c:v>
                </c:pt>
                <c:pt idx="15">
                  <c:v>644200</c:v>
                </c:pt>
                <c:pt idx="16">
                  <c:v>1456900</c:v>
                </c:pt>
                <c:pt idx="17">
                  <c:v>653100</c:v>
                </c:pt>
                <c:pt idx="18">
                  <c:v>209000</c:v>
                </c:pt>
              </c:numCache>
            </c:numRef>
          </c:xVal>
          <c:yVal>
            <c:numRef>
              <c:f>'JBT14'!$H$2:$H$20</c:f>
              <c:numCache>
                <c:formatCode>General</c:formatCode>
                <c:ptCount val="19"/>
                <c:pt idx="0">
                  <c:v>0.52839000000000003</c:v>
                </c:pt>
                <c:pt idx="1">
                  <c:v>0.48554639999999999</c:v>
                </c:pt>
                <c:pt idx="2">
                  <c:v>4.428636</c:v>
                </c:pt>
                <c:pt idx="3">
                  <c:v>0.35486699999999999</c:v>
                </c:pt>
                <c:pt idx="4">
                  <c:v>3.5815600000000003E-2</c:v>
                </c:pt>
                <c:pt idx="5">
                  <c:v>0.1114764</c:v>
                </c:pt>
                <c:pt idx="6">
                  <c:v>6.0455040000000002E-2</c:v>
                </c:pt>
                <c:pt idx="7">
                  <c:v>0.14284620000000001</c:v>
                </c:pt>
                <c:pt idx="8">
                  <c:v>0.37808079999999999</c:v>
                </c:pt>
                <c:pt idx="9">
                  <c:v>0.49613040000000003</c:v>
                </c:pt>
                <c:pt idx="10">
                  <c:v>0.19921079999999999</c:v>
                </c:pt>
                <c:pt idx="11">
                  <c:v>0.5145672</c:v>
                </c:pt>
                <c:pt idx="12">
                  <c:v>0.20455599999999999</c:v>
                </c:pt>
                <c:pt idx="13">
                  <c:v>0.1154636</c:v>
                </c:pt>
                <c:pt idx="14">
                  <c:v>3.2580159999999997E-2</c:v>
                </c:pt>
                <c:pt idx="15">
                  <c:v>6.6352599999999998E-2</c:v>
                </c:pt>
                <c:pt idx="16">
                  <c:v>0.14860380000000001</c:v>
                </c:pt>
                <c:pt idx="17">
                  <c:v>5.1790830000000003E-2</c:v>
                </c:pt>
                <c:pt idx="18">
                  <c:v>1.5382399999999999E-2</c:v>
                </c:pt>
              </c:numCache>
            </c:numRef>
          </c:yVal>
          <c:smooth val="0"/>
        </c:ser>
        <c:dLbls>
          <c:showLegendKey val="0"/>
          <c:showVal val="0"/>
          <c:showCatName val="0"/>
          <c:showSerName val="0"/>
          <c:showPercent val="0"/>
          <c:showBubbleSize val="0"/>
        </c:dLbls>
        <c:axId val="587415112"/>
        <c:axId val="587415504"/>
      </c:scatterChart>
      <c:valAx>
        <c:axId val="587415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415504"/>
        <c:crosses val="autoZero"/>
        <c:crossBetween val="midCat"/>
      </c:valAx>
      <c:valAx>
        <c:axId val="5874155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741511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'JBT14'!$I$1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5301773461461566"/>
                  <c:y val="5.035569105691056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'JBT14'!$D$2:$D$20</c:f>
              <c:numCache>
                <c:formatCode>General</c:formatCode>
                <c:ptCount val="19"/>
                <c:pt idx="0">
                  <c:v>1545000</c:v>
                </c:pt>
                <c:pt idx="1">
                  <c:v>2743200</c:v>
                </c:pt>
                <c:pt idx="2">
                  <c:v>1021600</c:v>
                </c:pt>
                <c:pt idx="3">
                  <c:v>514300</c:v>
                </c:pt>
                <c:pt idx="4">
                  <c:v>458000</c:v>
                </c:pt>
                <c:pt idx="5">
                  <c:v>807800</c:v>
                </c:pt>
                <c:pt idx="6">
                  <c:v>821400</c:v>
                </c:pt>
                <c:pt idx="7">
                  <c:v>755800</c:v>
                </c:pt>
                <c:pt idx="8">
                  <c:v>784400</c:v>
                </c:pt>
                <c:pt idx="9">
                  <c:v>802800</c:v>
                </c:pt>
                <c:pt idx="10">
                  <c:v>809800</c:v>
                </c:pt>
                <c:pt idx="11">
                  <c:v>1180200</c:v>
                </c:pt>
                <c:pt idx="12">
                  <c:v>929800</c:v>
                </c:pt>
                <c:pt idx="13">
                  <c:v>1204000</c:v>
                </c:pt>
                <c:pt idx="14">
                  <c:v>360400</c:v>
                </c:pt>
                <c:pt idx="15">
                  <c:v>644200</c:v>
                </c:pt>
                <c:pt idx="16">
                  <c:v>1456900</c:v>
                </c:pt>
                <c:pt idx="17">
                  <c:v>653100</c:v>
                </c:pt>
                <c:pt idx="18">
                  <c:v>209000</c:v>
                </c:pt>
              </c:numCache>
            </c:numRef>
          </c:xVal>
          <c:yVal>
            <c:numRef>
              <c:f>'JBT14'!$I$2:$I$20</c:f>
              <c:numCache>
                <c:formatCode>General</c:formatCode>
                <c:ptCount val="19"/>
                <c:pt idx="0">
                  <c:v>9.1618500000000005E-2</c:v>
                </c:pt>
                <c:pt idx="1">
                  <c:v>0.14017752</c:v>
                </c:pt>
                <c:pt idx="2">
                  <c:v>1.675424</c:v>
                </c:pt>
                <c:pt idx="3">
                  <c:v>9.4116900000000003E-2</c:v>
                </c:pt>
                <c:pt idx="4">
                  <c:v>3.4670600000000003E-2</c:v>
                </c:pt>
                <c:pt idx="5">
                  <c:v>0.1155154</c:v>
                </c:pt>
                <c:pt idx="6">
                  <c:v>4.9366140000000003E-2</c:v>
                </c:pt>
                <c:pt idx="7">
                  <c:v>9.9765599999999996E-2</c:v>
                </c:pt>
                <c:pt idx="8">
                  <c:v>0.1631552</c:v>
                </c:pt>
                <c:pt idx="9">
                  <c:v>0.27696599999999999</c:v>
                </c:pt>
                <c:pt idx="10">
                  <c:v>0.17491680000000001</c:v>
                </c:pt>
                <c:pt idx="11">
                  <c:v>0.24784200000000001</c:v>
                </c:pt>
                <c:pt idx="12">
                  <c:v>0.1506276</c:v>
                </c:pt>
                <c:pt idx="13">
                  <c:v>0.1040256</c:v>
                </c:pt>
                <c:pt idx="14">
                  <c:v>2.6705639999999999E-2</c:v>
                </c:pt>
                <c:pt idx="15">
                  <c:v>5.6303079999999998E-2</c:v>
                </c:pt>
                <c:pt idx="16">
                  <c:v>0.12864427000000001</c:v>
                </c:pt>
                <c:pt idx="17">
                  <c:v>4.532514E-2</c:v>
                </c:pt>
                <c:pt idx="18">
                  <c:v>1.24773E-2</c:v>
                </c:pt>
              </c:numCache>
            </c:numRef>
          </c:yVal>
          <c:smooth val="0"/>
        </c:ser>
        <c:dLbls>
          <c:showLegendKey val="0"/>
          <c:showVal val="0"/>
          <c:showCatName val="0"/>
          <c:showSerName val="0"/>
          <c:showPercent val="0"/>
          <c:showBubbleSize val="0"/>
        </c:dLbls>
        <c:axId val="452611696"/>
        <c:axId val="452612088"/>
      </c:scatterChart>
      <c:valAx>
        <c:axId val="4526116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2612088"/>
        <c:crosses val="autoZero"/>
        <c:crossBetween val="midCat"/>
      </c:valAx>
      <c:valAx>
        <c:axId val="452612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26116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'JBT14'!$J$1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2478008302274009"/>
                  <c:y val="-9.437929301390517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'JBT14'!$D$2:$D$20</c:f>
              <c:numCache>
                <c:formatCode>General</c:formatCode>
                <c:ptCount val="19"/>
                <c:pt idx="0">
                  <c:v>1545000</c:v>
                </c:pt>
                <c:pt idx="1">
                  <c:v>2743200</c:v>
                </c:pt>
                <c:pt idx="2">
                  <c:v>1021600</c:v>
                </c:pt>
                <c:pt idx="3">
                  <c:v>514300</c:v>
                </c:pt>
                <c:pt idx="4">
                  <c:v>458000</c:v>
                </c:pt>
                <c:pt idx="5">
                  <c:v>807800</c:v>
                </c:pt>
                <c:pt idx="6">
                  <c:v>821400</c:v>
                </c:pt>
                <c:pt idx="7">
                  <c:v>755800</c:v>
                </c:pt>
                <c:pt idx="8">
                  <c:v>784400</c:v>
                </c:pt>
                <c:pt idx="9">
                  <c:v>802800</c:v>
                </c:pt>
                <c:pt idx="10">
                  <c:v>809800</c:v>
                </c:pt>
                <c:pt idx="11">
                  <c:v>1180200</c:v>
                </c:pt>
                <c:pt idx="12">
                  <c:v>929800</c:v>
                </c:pt>
                <c:pt idx="13">
                  <c:v>1204000</c:v>
                </c:pt>
                <c:pt idx="14">
                  <c:v>360400</c:v>
                </c:pt>
                <c:pt idx="15">
                  <c:v>644200</c:v>
                </c:pt>
                <c:pt idx="16">
                  <c:v>1456900</c:v>
                </c:pt>
                <c:pt idx="17">
                  <c:v>653100</c:v>
                </c:pt>
                <c:pt idx="18">
                  <c:v>209000</c:v>
                </c:pt>
              </c:numCache>
            </c:numRef>
          </c:xVal>
          <c:yVal>
            <c:numRef>
              <c:f>'JBT14'!$J$2:$J$20</c:f>
              <c:numCache>
                <c:formatCode>General</c:formatCode>
                <c:ptCount val="19"/>
                <c:pt idx="0">
                  <c:v>11.124000000000001</c:v>
                </c:pt>
                <c:pt idx="1">
                  <c:v>19.531583999999999</c:v>
                </c:pt>
                <c:pt idx="2">
                  <c:v>52.316136</c:v>
                </c:pt>
                <c:pt idx="3">
                  <c:v>4.9681379999999997</c:v>
                </c:pt>
                <c:pt idx="4">
                  <c:v>3.5357599999999998</c:v>
                </c:pt>
                <c:pt idx="5">
                  <c:v>16.11561</c:v>
                </c:pt>
                <c:pt idx="6">
                  <c:v>8.1236460000000008</c:v>
                </c:pt>
                <c:pt idx="7">
                  <c:v>8.978904</c:v>
                </c:pt>
                <c:pt idx="8">
                  <c:v>25.061579999999999</c:v>
                </c:pt>
                <c:pt idx="9">
                  <c:v>18.2637</c:v>
                </c:pt>
                <c:pt idx="10">
                  <c:v>16.123118000000002</c:v>
                </c:pt>
                <c:pt idx="11">
                  <c:v>67.117974000000004</c:v>
                </c:pt>
                <c:pt idx="12">
                  <c:v>31.827054</c:v>
                </c:pt>
                <c:pt idx="13">
                  <c:v>20.239239999999999</c:v>
                </c:pt>
                <c:pt idx="14">
                  <c:v>5.0708279999999997</c:v>
                </c:pt>
                <c:pt idx="15">
                  <c:v>8.6000700000000005</c:v>
                </c:pt>
                <c:pt idx="16">
                  <c:v>21.664103000000001</c:v>
                </c:pt>
                <c:pt idx="17">
                  <c:v>8.4249899999999993</c:v>
                </c:pt>
                <c:pt idx="18">
                  <c:v>2.4662000000000002</c:v>
                </c:pt>
              </c:numCache>
            </c:numRef>
          </c:yVal>
          <c:smooth val="0"/>
        </c:ser>
        <c:dLbls>
          <c:showLegendKey val="0"/>
          <c:showVal val="0"/>
          <c:showCatName val="0"/>
          <c:showSerName val="0"/>
          <c:showPercent val="0"/>
          <c:showBubbleSize val="0"/>
        </c:dLbls>
        <c:axId val="452612872"/>
        <c:axId val="452613264"/>
      </c:scatterChart>
      <c:valAx>
        <c:axId val="4526128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2613264"/>
        <c:crosses val="autoZero"/>
        <c:crossBetween val="midCat"/>
      </c:valAx>
      <c:valAx>
        <c:axId val="4526132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26128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JBT14_SameDuration!$G$2:$G$14</c:f>
              <c:numCache>
                <c:formatCode>General</c:formatCode>
                <c:ptCount val="13"/>
                <c:pt idx="0">
                  <c:v>2743200</c:v>
                </c:pt>
                <c:pt idx="3">
                  <c:v>458000</c:v>
                </c:pt>
                <c:pt idx="4">
                  <c:v>807800</c:v>
                </c:pt>
                <c:pt idx="5">
                  <c:v>821400</c:v>
                </c:pt>
                <c:pt idx="6">
                  <c:v>755800</c:v>
                </c:pt>
                <c:pt idx="8">
                  <c:v>3674400</c:v>
                </c:pt>
                <c:pt idx="9">
                  <c:v>644200</c:v>
                </c:pt>
                <c:pt idx="10">
                  <c:v>1456900</c:v>
                </c:pt>
                <c:pt idx="11">
                  <c:v>653100</c:v>
                </c:pt>
                <c:pt idx="12">
                  <c:v>209000</c:v>
                </c:pt>
              </c:numCache>
            </c:numRef>
          </c:xVal>
          <c:yVal>
            <c:numRef>
              <c:f>JBT14_SameDuration!$H$2:$H$14</c:f>
              <c:numCache>
                <c:formatCode>General</c:formatCode>
                <c:ptCount val="13"/>
                <c:pt idx="0">
                  <c:v>0.48554639999999999</c:v>
                </c:pt>
                <c:pt idx="3">
                  <c:v>3.5815600000000003E-2</c:v>
                </c:pt>
                <c:pt idx="4">
                  <c:v>0.1114764</c:v>
                </c:pt>
                <c:pt idx="5">
                  <c:v>6.0455040000000002E-2</c:v>
                </c:pt>
                <c:pt idx="6">
                  <c:v>0.14284620000000001</c:v>
                </c:pt>
                <c:pt idx="8">
                  <c:v>0.86716695999999993</c:v>
                </c:pt>
                <c:pt idx="9">
                  <c:v>6.6352599999999998E-2</c:v>
                </c:pt>
                <c:pt idx="10">
                  <c:v>0.14860380000000001</c:v>
                </c:pt>
                <c:pt idx="11">
                  <c:v>5.1790830000000003E-2</c:v>
                </c:pt>
                <c:pt idx="12">
                  <c:v>1.5382399999999999E-2</c:v>
                </c:pt>
              </c:numCache>
            </c:numRef>
          </c:yVal>
          <c:smooth val="0"/>
        </c:ser>
        <c:dLbls>
          <c:showLegendKey val="0"/>
          <c:showVal val="0"/>
          <c:showCatName val="0"/>
          <c:showSerName val="0"/>
          <c:showPercent val="0"/>
          <c:showBubbleSize val="0"/>
        </c:dLbls>
        <c:axId val="452614048"/>
        <c:axId val="452614440"/>
      </c:scatterChart>
      <c:valAx>
        <c:axId val="4526140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2614440"/>
        <c:crosses val="autoZero"/>
        <c:crossBetween val="midCat"/>
      </c:valAx>
      <c:valAx>
        <c:axId val="452614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26140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JBT14_SameDuration!$G$2:$G$14</c:f>
              <c:numCache>
                <c:formatCode>General</c:formatCode>
                <c:ptCount val="13"/>
                <c:pt idx="0">
                  <c:v>2743200</c:v>
                </c:pt>
                <c:pt idx="3">
                  <c:v>458000</c:v>
                </c:pt>
                <c:pt idx="4">
                  <c:v>807800</c:v>
                </c:pt>
                <c:pt idx="5">
                  <c:v>821400</c:v>
                </c:pt>
                <c:pt idx="6">
                  <c:v>755800</c:v>
                </c:pt>
                <c:pt idx="8">
                  <c:v>3674400</c:v>
                </c:pt>
                <c:pt idx="9">
                  <c:v>644200</c:v>
                </c:pt>
                <c:pt idx="10">
                  <c:v>1456900</c:v>
                </c:pt>
                <c:pt idx="11">
                  <c:v>653100</c:v>
                </c:pt>
                <c:pt idx="12">
                  <c:v>209000</c:v>
                </c:pt>
              </c:numCache>
            </c:numRef>
          </c:xVal>
          <c:yVal>
            <c:numRef>
              <c:f>JBT14_SameDuration!$I$2:$I$14</c:f>
              <c:numCache>
                <c:formatCode>General</c:formatCode>
                <c:ptCount val="13"/>
                <c:pt idx="0">
                  <c:v>0.14017752</c:v>
                </c:pt>
                <c:pt idx="3">
                  <c:v>3.4670600000000003E-2</c:v>
                </c:pt>
                <c:pt idx="4">
                  <c:v>0.1155154</c:v>
                </c:pt>
                <c:pt idx="5">
                  <c:v>4.9366140000000003E-2</c:v>
                </c:pt>
                <c:pt idx="6">
                  <c:v>9.9765599999999996E-2</c:v>
                </c:pt>
                <c:pt idx="8">
                  <c:v>0.52920084000000001</c:v>
                </c:pt>
                <c:pt idx="9">
                  <c:v>5.6303079999999998E-2</c:v>
                </c:pt>
                <c:pt idx="10">
                  <c:v>0.12864427000000001</c:v>
                </c:pt>
                <c:pt idx="11">
                  <c:v>4.532514E-2</c:v>
                </c:pt>
                <c:pt idx="12">
                  <c:v>1.24773E-2</c:v>
                </c:pt>
              </c:numCache>
            </c:numRef>
          </c:yVal>
          <c:smooth val="0"/>
        </c:ser>
        <c:dLbls>
          <c:showLegendKey val="0"/>
          <c:showVal val="0"/>
          <c:showCatName val="0"/>
          <c:showSerName val="0"/>
          <c:showPercent val="0"/>
          <c:showBubbleSize val="0"/>
        </c:dLbls>
        <c:axId val="590010552"/>
        <c:axId val="590010944"/>
      </c:scatterChart>
      <c:valAx>
        <c:axId val="5900105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0944"/>
        <c:crosses val="autoZero"/>
        <c:crossBetween val="midCat"/>
      </c:valAx>
      <c:valAx>
        <c:axId val="590010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055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JBT14_SameDuration!$G$2:$G$14</c:f>
              <c:numCache>
                <c:formatCode>General</c:formatCode>
                <c:ptCount val="13"/>
                <c:pt idx="0">
                  <c:v>2743200</c:v>
                </c:pt>
                <c:pt idx="3">
                  <c:v>458000</c:v>
                </c:pt>
                <c:pt idx="4">
                  <c:v>807800</c:v>
                </c:pt>
                <c:pt idx="5">
                  <c:v>821400</c:v>
                </c:pt>
                <c:pt idx="6">
                  <c:v>755800</c:v>
                </c:pt>
                <c:pt idx="8">
                  <c:v>3674400</c:v>
                </c:pt>
                <c:pt idx="9">
                  <c:v>644200</c:v>
                </c:pt>
                <c:pt idx="10">
                  <c:v>1456900</c:v>
                </c:pt>
                <c:pt idx="11">
                  <c:v>653100</c:v>
                </c:pt>
                <c:pt idx="12">
                  <c:v>209000</c:v>
                </c:pt>
              </c:numCache>
            </c:numRef>
          </c:xVal>
          <c:yVal>
            <c:numRef>
              <c:f>JBT14_SameDuration!$J$2:$J$14</c:f>
              <c:numCache>
                <c:formatCode>General</c:formatCode>
                <c:ptCount val="13"/>
                <c:pt idx="0">
                  <c:v>19.531583999999999</c:v>
                </c:pt>
                <c:pt idx="3">
                  <c:v>3.5357599999999998</c:v>
                </c:pt>
                <c:pt idx="4">
                  <c:v>16.11561</c:v>
                </c:pt>
                <c:pt idx="5">
                  <c:v>8.1236460000000008</c:v>
                </c:pt>
                <c:pt idx="6">
                  <c:v>8.978904</c:v>
                </c:pt>
                <c:pt idx="8">
                  <c:v>124.25509600000001</c:v>
                </c:pt>
                <c:pt idx="9">
                  <c:v>8.6000700000000005</c:v>
                </c:pt>
                <c:pt idx="10">
                  <c:v>21.664103000000001</c:v>
                </c:pt>
                <c:pt idx="11">
                  <c:v>8.4249899999999993</c:v>
                </c:pt>
                <c:pt idx="12">
                  <c:v>2.4662000000000002</c:v>
                </c:pt>
              </c:numCache>
            </c:numRef>
          </c:yVal>
          <c:smooth val="0"/>
        </c:ser>
        <c:dLbls>
          <c:showLegendKey val="0"/>
          <c:showVal val="0"/>
          <c:showCatName val="0"/>
          <c:showSerName val="0"/>
          <c:showPercent val="0"/>
          <c:showBubbleSize val="0"/>
        </c:dLbls>
        <c:axId val="590011728"/>
        <c:axId val="590012120"/>
      </c:scatterChart>
      <c:valAx>
        <c:axId val="5900117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2120"/>
        <c:crosses val="autoZero"/>
        <c:crossBetween val="midCat"/>
      </c:valAx>
      <c:valAx>
        <c:axId val="5900121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17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JBT14_SameDuration!$G$2:$G$14</c:f>
              <c:numCache>
                <c:formatCode>General</c:formatCode>
                <c:ptCount val="13"/>
                <c:pt idx="0">
                  <c:v>2743200</c:v>
                </c:pt>
                <c:pt idx="3">
                  <c:v>458000</c:v>
                </c:pt>
                <c:pt idx="4">
                  <c:v>807800</c:v>
                </c:pt>
                <c:pt idx="5">
                  <c:v>821400</c:v>
                </c:pt>
                <c:pt idx="6">
                  <c:v>755800</c:v>
                </c:pt>
                <c:pt idx="8">
                  <c:v>3674400</c:v>
                </c:pt>
                <c:pt idx="9">
                  <c:v>644200</c:v>
                </c:pt>
                <c:pt idx="10">
                  <c:v>1456900</c:v>
                </c:pt>
                <c:pt idx="11">
                  <c:v>653100</c:v>
                </c:pt>
                <c:pt idx="12">
                  <c:v>209000</c:v>
                </c:pt>
              </c:numCache>
            </c:numRef>
          </c:xVal>
          <c:yVal>
            <c:numRef>
              <c:f>JBT14_SameDuration!$H$2:$H$14</c:f>
              <c:numCache>
                <c:formatCode>General</c:formatCode>
                <c:ptCount val="13"/>
                <c:pt idx="0">
                  <c:v>0.48554639999999999</c:v>
                </c:pt>
                <c:pt idx="3">
                  <c:v>3.5815600000000003E-2</c:v>
                </c:pt>
                <c:pt idx="4">
                  <c:v>0.1114764</c:v>
                </c:pt>
                <c:pt idx="5">
                  <c:v>6.0455040000000002E-2</c:v>
                </c:pt>
                <c:pt idx="6">
                  <c:v>0.14284620000000001</c:v>
                </c:pt>
                <c:pt idx="8">
                  <c:v>0.86716695999999993</c:v>
                </c:pt>
                <c:pt idx="9">
                  <c:v>6.6352599999999998E-2</c:v>
                </c:pt>
                <c:pt idx="10">
                  <c:v>0.14860380000000001</c:v>
                </c:pt>
                <c:pt idx="11">
                  <c:v>5.1790830000000003E-2</c:v>
                </c:pt>
                <c:pt idx="12">
                  <c:v>1.5382399999999999E-2</c:v>
                </c:pt>
              </c:numCache>
            </c:numRef>
          </c:yVal>
          <c:smooth val="0"/>
        </c:ser>
        <c:dLbls>
          <c:showLegendKey val="0"/>
          <c:showVal val="0"/>
          <c:showCatName val="0"/>
          <c:showSerName val="0"/>
          <c:showPercent val="0"/>
          <c:showBubbleSize val="0"/>
        </c:dLbls>
        <c:axId val="590012904"/>
        <c:axId val="590013296"/>
      </c:scatterChart>
      <c:valAx>
        <c:axId val="5900129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3296"/>
        <c:crosses val="autoZero"/>
        <c:crossBetween val="midCat"/>
      </c:valAx>
      <c:valAx>
        <c:axId val="5900132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29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JBT14_SameDuration!$G$2:$G$14</c:f>
              <c:numCache>
                <c:formatCode>General</c:formatCode>
                <c:ptCount val="13"/>
                <c:pt idx="0">
                  <c:v>2743200</c:v>
                </c:pt>
                <c:pt idx="3">
                  <c:v>458000</c:v>
                </c:pt>
                <c:pt idx="4">
                  <c:v>807800</c:v>
                </c:pt>
                <c:pt idx="5">
                  <c:v>821400</c:v>
                </c:pt>
                <c:pt idx="6">
                  <c:v>755800</c:v>
                </c:pt>
                <c:pt idx="8">
                  <c:v>3674400</c:v>
                </c:pt>
                <c:pt idx="9">
                  <c:v>644200</c:v>
                </c:pt>
                <c:pt idx="10">
                  <c:v>1456900</c:v>
                </c:pt>
                <c:pt idx="11">
                  <c:v>653100</c:v>
                </c:pt>
                <c:pt idx="12">
                  <c:v>209000</c:v>
                </c:pt>
              </c:numCache>
            </c:numRef>
          </c:xVal>
          <c:yVal>
            <c:numRef>
              <c:f>JBT14_SameDuration!$I$2:$I$14</c:f>
              <c:numCache>
                <c:formatCode>General</c:formatCode>
                <c:ptCount val="13"/>
                <c:pt idx="0">
                  <c:v>0.14017752</c:v>
                </c:pt>
                <c:pt idx="3">
                  <c:v>3.4670600000000003E-2</c:v>
                </c:pt>
                <c:pt idx="4">
                  <c:v>0.1155154</c:v>
                </c:pt>
                <c:pt idx="5">
                  <c:v>4.9366140000000003E-2</c:v>
                </c:pt>
                <c:pt idx="6">
                  <c:v>9.9765599999999996E-2</c:v>
                </c:pt>
                <c:pt idx="8">
                  <c:v>0.52920084000000001</c:v>
                </c:pt>
                <c:pt idx="9">
                  <c:v>5.6303079999999998E-2</c:v>
                </c:pt>
                <c:pt idx="10">
                  <c:v>0.12864427000000001</c:v>
                </c:pt>
                <c:pt idx="11">
                  <c:v>4.532514E-2</c:v>
                </c:pt>
                <c:pt idx="12">
                  <c:v>1.24773E-2</c:v>
                </c:pt>
              </c:numCache>
            </c:numRef>
          </c:yVal>
          <c:smooth val="0"/>
        </c:ser>
        <c:dLbls>
          <c:showLegendKey val="0"/>
          <c:showVal val="0"/>
          <c:showCatName val="0"/>
          <c:showSerName val="0"/>
          <c:showPercent val="0"/>
          <c:showBubbleSize val="0"/>
        </c:dLbls>
        <c:axId val="590014080"/>
        <c:axId val="590014472"/>
      </c:scatterChart>
      <c:valAx>
        <c:axId val="5900140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4472"/>
        <c:crosses val="autoZero"/>
        <c:crossBetween val="midCat"/>
      </c:valAx>
      <c:valAx>
        <c:axId val="5900144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40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1144094488188978"/>
                  <c:y val="4.9402823018458199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'JBT02'!$C$2:$C$20</c:f>
              <c:numCache>
                <c:formatCode>General</c:formatCode>
                <c:ptCount val="19"/>
                <c:pt idx="0">
                  <c:v>142800</c:v>
                </c:pt>
                <c:pt idx="1">
                  <c:v>63500</c:v>
                </c:pt>
                <c:pt idx="2">
                  <c:v>60200</c:v>
                </c:pt>
                <c:pt idx="3">
                  <c:v>43800</c:v>
                </c:pt>
                <c:pt idx="4">
                  <c:v>35200</c:v>
                </c:pt>
                <c:pt idx="5">
                  <c:v>32300</c:v>
                </c:pt>
                <c:pt idx="6">
                  <c:v>32100</c:v>
                </c:pt>
                <c:pt idx="7">
                  <c:v>18400</c:v>
                </c:pt>
                <c:pt idx="8">
                  <c:v>33000</c:v>
                </c:pt>
                <c:pt idx="9">
                  <c:v>39400</c:v>
                </c:pt>
                <c:pt idx="10">
                  <c:v>39900</c:v>
                </c:pt>
                <c:pt idx="11">
                  <c:v>38600</c:v>
                </c:pt>
                <c:pt idx="12">
                  <c:v>38100</c:v>
                </c:pt>
                <c:pt idx="13">
                  <c:v>42800</c:v>
                </c:pt>
                <c:pt idx="14">
                  <c:v>59500</c:v>
                </c:pt>
                <c:pt idx="15">
                  <c:v>47400</c:v>
                </c:pt>
                <c:pt idx="16">
                  <c:v>50500</c:v>
                </c:pt>
                <c:pt idx="17">
                  <c:v>10200</c:v>
                </c:pt>
                <c:pt idx="18">
                  <c:v>1300</c:v>
                </c:pt>
              </c:numCache>
            </c:numRef>
          </c:xVal>
          <c:yVal>
            <c:numRef>
              <c:f>'JBT02'!$I$2:$I$20</c:f>
              <c:numCache>
                <c:formatCode>General</c:formatCode>
                <c:ptCount val="19"/>
                <c:pt idx="0">
                  <c:v>1.2252240000000001</c:v>
                </c:pt>
                <c:pt idx="1">
                  <c:v>0.54101999999999995</c:v>
                </c:pt>
                <c:pt idx="2">
                  <c:v>0.47437600000000002</c:v>
                </c:pt>
                <c:pt idx="3">
                  <c:v>0.35039999999999999</c:v>
                </c:pt>
                <c:pt idx="4">
                  <c:v>0.29075200000000001</c:v>
                </c:pt>
                <c:pt idx="5">
                  <c:v>0.28520899999999999</c:v>
                </c:pt>
                <c:pt idx="6">
                  <c:v>0.37813799999999997</c:v>
                </c:pt>
                <c:pt idx="7">
                  <c:v>0.21509600000000001</c:v>
                </c:pt>
                <c:pt idx="8">
                  <c:v>0.42437999999999998</c:v>
                </c:pt>
                <c:pt idx="9">
                  <c:v>0.99839599999999995</c:v>
                </c:pt>
                <c:pt idx="10">
                  <c:v>1.170666</c:v>
                </c:pt>
                <c:pt idx="11">
                  <c:v>1.0553239999999999</c:v>
                </c:pt>
                <c:pt idx="12">
                  <c:v>0.87363299999999999</c:v>
                </c:pt>
                <c:pt idx="13">
                  <c:v>0.42158000000000001</c:v>
                </c:pt>
                <c:pt idx="14">
                  <c:v>0.51646000000000003</c:v>
                </c:pt>
                <c:pt idx="15">
                  <c:v>0.340806</c:v>
                </c:pt>
                <c:pt idx="16">
                  <c:v>0.36713499999999999</c:v>
                </c:pt>
                <c:pt idx="17">
                  <c:v>8.1906000000000007E-2</c:v>
                </c:pt>
                <c:pt idx="18">
                  <c:v>1.0933E-2</c:v>
                </c:pt>
              </c:numCache>
            </c:numRef>
          </c:yVal>
          <c:smooth val="0"/>
        </c:ser>
        <c:dLbls>
          <c:showLegendKey val="0"/>
          <c:showVal val="0"/>
          <c:showCatName val="0"/>
          <c:showSerName val="0"/>
          <c:showPercent val="0"/>
          <c:showBubbleSize val="0"/>
        </c:dLbls>
        <c:axId val="446980344"/>
        <c:axId val="446980736"/>
      </c:scatterChart>
      <c:valAx>
        <c:axId val="4469803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980736"/>
        <c:crosses val="autoZero"/>
        <c:crossBetween val="midCat"/>
      </c:valAx>
      <c:valAx>
        <c:axId val="4469807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9803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JBT14_SameDuration!$J$1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JBT14_SameDuration!$G$2:$G$14</c:f>
              <c:numCache>
                <c:formatCode>General</c:formatCode>
                <c:ptCount val="13"/>
                <c:pt idx="0">
                  <c:v>2743200</c:v>
                </c:pt>
                <c:pt idx="3">
                  <c:v>458000</c:v>
                </c:pt>
                <c:pt idx="4">
                  <c:v>807800</c:v>
                </c:pt>
                <c:pt idx="5">
                  <c:v>821400</c:v>
                </c:pt>
                <c:pt idx="6">
                  <c:v>755800</c:v>
                </c:pt>
                <c:pt idx="8">
                  <c:v>3674400</c:v>
                </c:pt>
                <c:pt idx="9">
                  <c:v>644200</c:v>
                </c:pt>
                <c:pt idx="10">
                  <c:v>1456900</c:v>
                </c:pt>
                <c:pt idx="11">
                  <c:v>653100</c:v>
                </c:pt>
                <c:pt idx="12">
                  <c:v>209000</c:v>
                </c:pt>
              </c:numCache>
            </c:numRef>
          </c:xVal>
          <c:yVal>
            <c:numRef>
              <c:f>JBT14_SameDuration!$J$2:$J$14</c:f>
              <c:numCache>
                <c:formatCode>General</c:formatCode>
                <c:ptCount val="13"/>
                <c:pt idx="0">
                  <c:v>19.531583999999999</c:v>
                </c:pt>
                <c:pt idx="3">
                  <c:v>3.5357599999999998</c:v>
                </c:pt>
                <c:pt idx="4">
                  <c:v>16.11561</c:v>
                </c:pt>
                <c:pt idx="5">
                  <c:v>8.1236460000000008</c:v>
                </c:pt>
                <c:pt idx="6">
                  <c:v>8.978904</c:v>
                </c:pt>
                <c:pt idx="8">
                  <c:v>124.25509600000001</c:v>
                </c:pt>
                <c:pt idx="9">
                  <c:v>8.6000700000000005</c:v>
                </c:pt>
                <c:pt idx="10">
                  <c:v>21.664103000000001</c:v>
                </c:pt>
                <c:pt idx="11">
                  <c:v>8.4249899999999993</c:v>
                </c:pt>
                <c:pt idx="12">
                  <c:v>2.4662000000000002</c:v>
                </c:pt>
              </c:numCache>
            </c:numRef>
          </c:yVal>
          <c:smooth val="0"/>
        </c:ser>
        <c:dLbls>
          <c:showLegendKey val="0"/>
          <c:showVal val="0"/>
          <c:showCatName val="0"/>
          <c:showSerName val="0"/>
          <c:showPercent val="0"/>
          <c:showBubbleSize val="0"/>
        </c:dLbls>
        <c:axId val="590015256"/>
        <c:axId val="590015648"/>
      </c:scatterChart>
      <c:valAx>
        <c:axId val="5900152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5648"/>
        <c:crosses val="autoZero"/>
        <c:crossBetween val="midCat"/>
      </c:valAx>
      <c:valAx>
        <c:axId val="590015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5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34708070866141733"/>
                  <c:y val="-4.568591821949857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'JBT18'!$C$2:$C$21</c:f>
              <c:numCache>
                <c:formatCode>General</c:formatCode>
                <c:ptCount val="20"/>
                <c:pt idx="0">
                  <c:v>333800</c:v>
                </c:pt>
                <c:pt idx="1">
                  <c:v>102100</c:v>
                </c:pt>
                <c:pt idx="2">
                  <c:v>100100</c:v>
                </c:pt>
                <c:pt idx="3">
                  <c:v>100100</c:v>
                </c:pt>
                <c:pt idx="4">
                  <c:v>98000</c:v>
                </c:pt>
                <c:pt idx="5">
                  <c:v>197100</c:v>
                </c:pt>
                <c:pt idx="6">
                  <c:v>51300</c:v>
                </c:pt>
                <c:pt idx="7">
                  <c:v>30900</c:v>
                </c:pt>
                <c:pt idx="8">
                  <c:v>17300</c:v>
                </c:pt>
                <c:pt idx="9">
                  <c:v>21200</c:v>
                </c:pt>
                <c:pt idx="10">
                  <c:v>600</c:v>
                </c:pt>
                <c:pt idx="11">
                  <c:v>18300</c:v>
                </c:pt>
                <c:pt idx="12">
                  <c:v>19700</c:v>
                </c:pt>
                <c:pt idx="13">
                  <c:v>20600</c:v>
                </c:pt>
                <c:pt idx="14">
                  <c:v>19700</c:v>
                </c:pt>
                <c:pt idx="15">
                  <c:v>248400</c:v>
                </c:pt>
                <c:pt idx="16">
                  <c:v>78600</c:v>
                </c:pt>
                <c:pt idx="17">
                  <c:v>175600</c:v>
                </c:pt>
                <c:pt idx="18">
                  <c:v>78600</c:v>
                </c:pt>
                <c:pt idx="19">
                  <c:v>31700</c:v>
                </c:pt>
              </c:numCache>
            </c:numRef>
          </c:xVal>
          <c:yVal>
            <c:numRef>
              <c:f>'JBT18'!$G$2:$G$21</c:f>
              <c:numCache>
                <c:formatCode>General</c:formatCode>
                <c:ptCount val="20"/>
                <c:pt idx="0">
                  <c:v>5.6745999999999998E-2</c:v>
                </c:pt>
                <c:pt idx="1">
                  <c:v>1.4293999999999999E-2</c:v>
                </c:pt>
                <c:pt idx="2">
                  <c:v>7.7577499999999999E-3</c:v>
                </c:pt>
                <c:pt idx="3">
                  <c:v>1.59159E-2</c:v>
                </c:pt>
                <c:pt idx="4">
                  <c:v>1.9501999999999999E-2</c:v>
                </c:pt>
                <c:pt idx="5">
                  <c:v>1.5925680000000001E-2</c:v>
                </c:pt>
                <c:pt idx="6">
                  <c:v>2.5496099999999999E-3</c:v>
                </c:pt>
                <c:pt idx="7">
                  <c:v>2.75319E-3</c:v>
                </c:pt>
                <c:pt idx="8">
                  <c:v>8.0444999999999996E-4</c:v>
                </c:pt>
                <c:pt idx="9">
                  <c:v>3.392E-3</c:v>
                </c:pt>
                <c:pt idx="10">
                  <c:v>4.2719999999999998E-5</c:v>
                </c:pt>
                <c:pt idx="11">
                  <c:v>4.7762999999999998E-3</c:v>
                </c:pt>
                <c:pt idx="12">
                  <c:v>4.6097999999999998E-3</c:v>
                </c:pt>
                <c:pt idx="13">
                  <c:v>4.2436000000000001E-3</c:v>
                </c:pt>
                <c:pt idx="14">
                  <c:v>2.7973999999999998E-3</c:v>
                </c:pt>
                <c:pt idx="15">
                  <c:v>3.5521200000000003E-2</c:v>
                </c:pt>
                <c:pt idx="16">
                  <c:v>1.0611000000000001E-2</c:v>
                </c:pt>
                <c:pt idx="17">
                  <c:v>3.2134799999999998E-2</c:v>
                </c:pt>
                <c:pt idx="18">
                  <c:v>5.2268999999999996E-3</c:v>
                </c:pt>
                <c:pt idx="19">
                  <c:v>1.37261E-3</c:v>
                </c:pt>
              </c:numCache>
            </c:numRef>
          </c:yVal>
          <c:smooth val="0"/>
        </c:ser>
        <c:dLbls>
          <c:showLegendKey val="0"/>
          <c:showVal val="0"/>
          <c:showCatName val="0"/>
          <c:showSerName val="0"/>
          <c:showPercent val="0"/>
          <c:showBubbleSize val="0"/>
        </c:dLbls>
        <c:axId val="590016432"/>
        <c:axId val="590016824"/>
      </c:scatterChart>
      <c:valAx>
        <c:axId val="5900164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6824"/>
        <c:crosses val="autoZero"/>
        <c:crossBetween val="midCat"/>
      </c:valAx>
      <c:valAx>
        <c:axId val="5900168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64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8500044666215751"/>
                  <c:y val="9.7376928493694385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'JBT18'!$C$2:$C$21</c:f>
              <c:numCache>
                <c:formatCode>General</c:formatCode>
                <c:ptCount val="20"/>
                <c:pt idx="0">
                  <c:v>333800</c:v>
                </c:pt>
                <c:pt idx="1">
                  <c:v>102100</c:v>
                </c:pt>
                <c:pt idx="2">
                  <c:v>100100</c:v>
                </c:pt>
                <c:pt idx="3">
                  <c:v>100100</c:v>
                </c:pt>
                <c:pt idx="4">
                  <c:v>98000</c:v>
                </c:pt>
                <c:pt idx="5">
                  <c:v>197100</c:v>
                </c:pt>
                <c:pt idx="6">
                  <c:v>51300</c:v>
                </c:pt>
                <c:pt idx="7">
                  <c:v>30900</c:v>
                </c:pt>
                <c:pt idx="8">
                  <c:v>17300</c:v>
                </c:pt>
                <c:pt idx="9">
                  <c:v>21200</c:v>
                </c:pt>
                <c:pt idx="10">
                  <c:v>600</c:v>
                </c:pt>
                <c:pt idx="11">
                  <c:v>18300</c:v>
                </c:pt>
                <c:pt idx="12">
                  <c:v>19700</c:v>
                </c:pt>
                <c:pt idx="13">
                  <c:v>20600</c:v>
                </c:pt>
                <c:pt idx="14">
                  <c:v>19700</c:v>
                </c:pt>
                <c:pt idx="15">
                  <c:v>248400</c:v>
                </c:pt>
                <c:pt idx="16">
                  <c:v>78600</c:v>
                </c:pt>
                <c:pt idx="17">
                  <c:v>175600</c:v>
                </c:pt>
                <c:pt idx="18">
                  <c:v>78600</c:v>
                </c:pt>
                <c:pt idx="19">
                  <c:v>31700</c:v>
                </c:pt>
              </c:numCache>
            </c:numRef>
          </c:xVal>
          <c:yVal>
            <c:numRef>
              <c:f>'JBT18'!$H$2:$H$21</c:f>
              <c:numCache>
                <c:formatCode>General</c:formatCode>
                <c:ptCount val="20"/>
                <c:pt idx="0">
                  <c:v>1.411974E-2</c:v>
                </c:pt>
                <c:pt idx="1">
                  <c:v>4.09421E-3</c:v>
                </c:pt>
                <c:pt idx="2">
                  <c:v>3.7537500000000001E-3</c:v>
                </c:pt>
                <c:pt idx="3">
                  <c:v>3.2532500000000001E-3</c:v>
                </c:pt>
                <c:pt idx="4">
                  <c:v>3.7827999999999998E-3</c:v>
                </c:pt>
                <c:pt idx="5">
                  <c:v>7.0758899999999996E-3</c:v>
                </c:pt>
                <c:pt idx="6">
                  <c:v>8.208E-4</c:v>
                </c:pt>
                <c:pt idx="7">
                  <c:v>7.1069999999999998E-4</c:v>
                </c:pt>
                <c:pt idx="8">
                  <c:v>1.4878E-4</c:v>
                </c:pt>
                <c:pt idx="9">
                  <c:v>6.5932000000000002E-4</c:v>
                </c:pt>
                <c:pt idx="11">
                  <c:v>1.0467600000000001E-3</c:v>
                </c:pt>
                <c:pt idx="12">
                  <c:v>1.4085499999999999E-3</c:v>
                </c:pt>
                <c:pt idx="13">
                  <c:v>1.21334E-3</c:v>
                </c:pt>
                <c:pt idx="14">
                  <c:v>1.1406299999999999E-3</c:v>
                </c:pt>
                <c:pt idx="15">
                  <c:v>1.8480960000000001E-2</c:v>
                </c:pt>
                <c:pt idx="16">
                  <c:v>4.6766999999999998E-3</c:v>
                </c:pt>
                <c:pt idx="17">
                  <c:v>2.9149600000000001E-2</c:v>
                </c:pt>
                <c:pt idx="18">
                  <c:v>3.1440000000000001E-3</c:v>
                </c:pt>
                <c:pt idx="19">
                  <c:v>8.9393999999999997E-4</c:v>
                </c:pt>
              </c:numCache>
            </c:numRef>
          </c:yVal>
          <c:smooth val="0"/>
        </c:ser>
        <c:dLbls>
          <c:showLegendKey val="0"/>
          <c:showVal val="0"/>
          <c:showCatName val="0"/>
          <c:showSerName val="0"/>
          <c:showPercent val="0"/>
          <c:showBubbleSize val="0"/>
        </c:dLbls>
        <c:axId val="590017608"/>
        <c:axId val="590018000"/>
      </c:scatterChart>
      <c:valAx>
        <c:axId val="5900176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8000"/>
        <c:crosses val="autoZero"/>
        <c:crossBetween val="midCat"/>
      </c:valAx>
      <c:valAx>
        <c:axId val="5900180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0176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0766900300628818"/>
                  <c:y val="-7.68526274641201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'JBT18'!$C$2:$C$21</c:f>
              <c:numCache>
                <c:formatCode>General</c:formatCode>
                <c:ptCount val="20"/>
                <c:pt idx="0">
                  <c:v>333800</c:v>
                </c:pt>
                <c:pt idx="1">
                  <c:v>102100</c:v>
                </c:pt>
                <c:pt idx="2">
                  <c:v>100100</c:v>
                </c:pt>
                <c:pt idx="3">
                  <c:v>100100</c:v>
                </c:pt>
                <c:pt idx="4">
                  <c:v>98000</c:v>
                </c:pt>
                <c:pt idx="5">
                  <c:v>197100</c:v>
                </c:pt>
                <c:pt idx="6">
                  <c:v>51300</c:v>
                </c:pt>
                <c:pt idx="7">
                  <c:v>30900</c:v>
                </c:pt>
                <c:pt idx="8">
                  <c:v>17300</c:v>
                </c:pt>
                <c:pt idx="9">
                  <c:v>21200</c:v>
                </c:pt>
                <c:pt idx="10">
                  <c:v>600</c:v>
                </c:pt>
                <c:pt idx="11">
                  <c:v>18300</c:v>
                </c:pt>
                <c:pt idx="12">
                  <c:v>19700</c:v>
                </c:pt>
                <c:pt idx="13">
                  <c:v>20600</c:v>
                </c:pt>
                <c:pt idx="14">
                  <c:v>19700</c:v>
                </c:pt>
                <c:pt idx="15">
                  <c:v>248400</c:v>
                </c:pt>
                <c:pt idx="16">
                  <c:v>78600</c:v>
                </c:pt>
                <c:pt idx="17">
                  <c:v>175600</c:v>
                </c:pt>
                <c:pt idx="18">
                  <c:v>78600</c:v>
                </c:pt>
                <c:pt idx="19">
                  <c:v>31700</c:v>
                </c:pt>
              </c:numCache>
            </c:numRef>
          </c:xVal>
          <c:yVal>
            <c:numRef>
              <c:f>'JBT18'!$I$2:$I$21</c:f>
              <c:numCache>
                <c:formatCode>General</c:formatCode>
                <c:ptCount val="20"/>
                <c:pt idx="0">
                  <c:v>0.42058800000000002</c:v>
                </c:pt>
                <c:pt idx="1">
                  <c:v>0.115373</c:v>
                </c:pt>
                <c:pt idx="2">
                  <c:v>9.9099000000000007E-2</c:v>
                </c:pt>
                <c:pt idx="3">
                  <c:v>0.10610600000000001</c:v>
                </c:pt>
                <c:pt idx="4">
                  <c:v>0.10780000000000001</c:v>
                </c:pt>
                <c:pt idx="5">
                  <c:v>0.13994100000000001</c:v>
                </c:pt>
                <c:pt idx="6">
                  <c:v>4.0014000000000001E-2</c:v>
                </c:pt>
                <c:pt idx="7">
                  <c:v>2.9354999999999999E-2</c:v>
                </c:pt>
                <c:pt idx="8">
                  <c:v>1.3667E-2</c:v>
                </c:pt>
                <c:pt idx="9">
                  <c:v>2.6499999999999999E-2</c:v>
                </c:pt>
                <c:pt idx="10">
                  <c:v>7.9799999999999999E-4</c:v>
                </c:pt>
                <c:pt idx="11">
                  <c:v>3.7331999999999997E-2</c:v>
                </c:pt>
                <c:pt idx="12">
                  <c:v>3.7429999999999998E-2</c:v>
                </c:pt>
                <c:pt idx="13">
                  <c:v>3.3166000000000001E-2</c:v>
                </c:pt>
                <c:pt idx="14">
                  <c:v>2.7185999999999998E-2</c:v>
                </c:pt>
                <c:pt idx="15">
                  <c:v>0.24343200000000001</c:v>
                </c:pt>
                <c:pt idx="16">
                  <c:v>8.3316000000000001E-2</c:v>
                </c:pt>
                <c:pt idx="17">
                  <c:v>0.20194000000000001</c:v>
                </c:pt>
                <c:pt idx="18">
                  <c:v>8.6459999999999995E-2</c:v>
                </c:pt>
                <c:pt idx="19">
                  <c:v>2.6311000000000001E-2</c:v>
                </c:pt>
              </c:numCache>
            </c:numRef>
          </c:yVal>
          <c:smooth val="0"/>
        </c:ser>
        <c:dLbls>
          <c:showLegendKey val="0"/>
          <c:showVal val="0"/>
          <c:showCatName val="0"/>
          <c:showSerName val="0"/>
          <c:showPercent val="0"/>
          <c:showBubbleSize val="0"/>
        </c:dLbls>
        <c:axId val="590174024"/>
        <c:axId val="590174416"/>
      </c:scatterChart>
      <c:valAx>
        <c:axId val="5901740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4416"/>
        <c:crosses val="autoZero"/>
        <c:crossBetween val="midCat"/>
      </c:valAx>
      <c:valAx>
        <c:axId val="5901744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40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6626137357830268"/>
                  <c:y val="-1.392105398589882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'JBT18'!$C$2:$C$21</c:f>
              <c:numCache>
                <c:formatCode>General</c:formatCode>
                <c:ptCount val="20"/>
                <c:pt idx="0">
                  <c:v>333800</c:v>
                </c:pt>
                <c:pt idx="1">
                  <c:v>102100</c:v>
                </c:pt>
                <c:pt idx="2">
                  <c:v>100100</c:v>
                </c:pt>
                <c:pt idx="3">
                  <c:v>100100</c:v>
                </c:pt>
                <c:pt idx="4">
                  <c:v>98000</c:v>
                </c:pt>
                <c:pt idx="5">
                  <c:v>197100</c:v>
                </c:pt>
                <c:pt idx="6">
                  <c:v>51300</c:v>
                </c:pt>
                <c:pt idx="7">
                  <c:v>30900</c:v>
                </c:pt>
                <c:pt idx="8">
                  <c:v>17300</c:v>
                </c:pt>
                <c:pt idx="9">
                  <c:v>21200</c:v>
                </c:pt>
                <c:pt idx="10">
                  <c:v>600</c:v>
                </c:pt>
                <c:pt idx="11">
                  <c:v>18300</c:v>
                </c:pt>
                <c:pt idx="12">
                  <c:v>19700</c:v>
                </c:pt>
                <c:pt idx="13">
                  <c:v>20600</c:v>
                </c:pt>
                <c:pt idx="14">
                  <c:v>19700</c:v>
                </c:pt>
                <c:pt idx="15">
                  <c:v>248400</c:v>
                </c:pt>
                <c:pt idx="16">
                  <c:v>78600</c:v>
                </c:pt>
                <c:pt idx="17">
                  <c:v>175600</c:v>
                </c:pt>
                <c:pt idx="18">
                  <c:v>78600</c:v>
                </c:pt>
                <c:pt idx="19">
                  <c:v>31700</c:v>
                </c:pt>
              </c:numCache>
            </c:numRef>
          </c:xVal>
          <c:yVal>
            <c:numRef>
              <c:f>'JBT18'!$G$2:$G$21</c:f>
              <c:numCache>
                <c:formatCode>General</c:formatCode>
                <c:ptCount val="20"/>
                <c:pt idx="0">
                  <c:v>5.6745999999999998E-2</c:v>
                </c:pt>
                <c:pt idx="1">
                  <c:v>1.4293999999999999E-2</c:v>
                </c:pt>
                <c:pt idx="2">
                  <c:v>7.7577499999999999E-3</c:v>
                </c:pt>
                <c:pt idx="3">
                  <c:v>1.59159E-2</c:v>
                </c:pt>
                <c:pt idx="4">
                  <c:v>1.9501999999999999E-2</c:v>
                </c:pt>
                <c:pt idx="5">
                  <c:v>1.5925680000000001E-2</c:v>
                </c:pt>
                <c:pt idx="6">
                  <c:v>2.5496099999999999E-3</c:v>
                </c:pt>
                <c:pt idx="7">
                  <c:v>2.75319E-3</c:v>
                </c:pt>
                <c:pt idx="8">
                  <c:v>8.0444999999999996E-4</c:v>
                </c:pt>
                <c:pt idx="9">
                  <c:v>3.392E-3</c:v>
                </c:pt>
                <c:pt idx="10">
                  <c:v>4.2719999999999998E-5</c:v>
                </c:pt>
                <c:pt idx="11">
                  <c:v>4.7762999999999998E-3</c:v>
                </c:pt>
                <c:pt idx="12">
                  <c:v>4.6097999999999998E-3</c:v>
                </c:pt>
                <c:pt idx="13">
                  <c:v>4.2436000000000001E-3</c:v>
                </c:pt>
                <c:pt idx="14">
                  <c:v>2.7973999999999998E-3</c:v>
                </c:pt>
                <c:pt idx="15">
                  <c:v>3.5521200000000003E-2</c:v>
                </c:pt>
                <c:pt idx="16">
                  <c:v>1.0611000000000001E-2</c:v>
                </c:pt>
                <c:pt idx="17">
                  <c:v>3.2134799999999998E-2</c:v>
                </c:pt>
                <c:pt idx="18">
                  <c:v>5.2268999999999996E-3</c:v>
                </c:pt>
                <c:pt idx="19">
                  <c:v>1.37261E-3</c:v>
                </c:pt>
              </c:numCache>
            </c:numRef>
          </c:yVal>
          <c:smooth val="0"/>
        </c:ser>
        <c:dLbls>
          <c:showLegendKey val="0"/>
          <c:showVal val="0"/>
          <c:showCatName val="0"/>
          <c:showSerName val="0"/>
          <c:showPercent val="0"/>
          <c:showBubbleSize val="0"/>
        </c:dLbls>
        <c:axId val="590175200"/>
        <c:axId val="590175592"/>
      </c:scatterChart>
      <c:valAx>
        <c:axId val="5901752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5592"/>
        <c:crosses val="autoZero"/>
        <c:crossBetween val="midCat"/>
      </c:valAx>
      <c:valAx>
        <c:axId val="5901755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52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5301773461461566"/>
                  <c:y val="5.035569105691056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'JBT18'!$C$2:$C$21</c:f>
              <c:numCache>
                <c:formatCode>General</c:formatCode>
                <c:ptCount val="20"/>
                <c:pt idx="0">
                  <c:v>333800</c:v>
                </c:pt>
                <c:pt idx="1">
                  <c:v>102100</c:v>
                </c:pt>
                <c:pt idx="2">
                  <c:v>100100</c:v>
                </c:pt>
                <c:pt idx="3">
                  <c:v>100100</c:v>
                </c:pt>
                <c:pt idx="4">
                  <c:v>98000</c:v>
                </c:pt>
                <c:pt idx="5">
                  <c:v>197100</c:v>
                </c:pt>
                <c:pt idx="6">
                  <c:v>51300</c:v>
                </c:pt>
                <c:pt idx="7">
                  <c:v>30900</c:v>
                </c:pt>
                <c:pt idx="8">
                  <c:v>17300</c:v>
                </c:pt>
                <c:pt idx="9">
                  <c:v>21200</c:v>
                </c:pt>
                <c:pt idx="10">
                  <c:v>600</c:v>
                </c:pt>
                <c:pt idx="11">
                  <c:v>18300</c:v>
                </c:pt>
                <c:pt idx="12">
                  <c:v>19700</c:v>
                </c:pt>
                <c:pt idx="13">
                  <c:v>20600</c:v>
                </c:pt>
                <c:pt idx="14">
                  <c:v>19700</c:v>
                </c:pt>
                <c:pt idx="15">
                  <c:v>248400</c:v>
                </c:pt>
                <c:pt idx="16">
                  <c:v>78600</c:v>
                </c:pt>
                <c:pt idx="17">
                  <c:v>175600</c:v>
                </c:pt>
                <c:pt idx="18">
                  <c:v>78600</c:v>
                </c:pt>
                <c:pt idx="19">
                  <c:v>31700</c:v>
                </c:pt>
              </c:numCache>
            </c:numRef>
          </c:xVal>
          <c:yVal>
            <c:numRef>
              <c:f>'JBT18'!$H$2:$H$21</c:f>
              <c:numCache>
                <c:formatCode>General</c:formatCode>
                <c:ptCount val="20"/>
                <c:pt idx="0">
                  <c:v>1.411974E-2</c:v>
                </c:pt>
                <c:pt idx="1">
                  <c:v>4.09421E-3</c:v>
                </c:pt>
                <c:pt idx="2">
                  <c:v>3.7537500000000001E-3</c:v>
                </c:pt>
                <c:pt idx="3">
                  <c:v>3.2532500000000001E-3</c:v>
                </c:pt>
                <c:pt idx="4">
                  <c:v>3.7827999999999998E-3</c:v>
                </c:pt>
                <c:pt idx="5">
                  <c:v>7.0758899999999996E-3</c:v>
                </c:pt>
                <c:pt idx="6">
                  <c:v>8.208E-4</c:v>
                </c:pt>
                <c:pt idx="7">
                  <c:v>7.1069999999999998E-4</c:v>
                </c:pt>
                <c:pt idx="8">
                  <c:v>1.4878E-4</c:v>
                </c:pt>
                <c:pt idx="9">
                  <c:v>6.5932000000000002E-4</c:v>
                </c:pt>
                <c:pt idx="11">
                  <c:v>1.0467600000000001E-3</c:v>
                </c:pt>
                <c:pt idx="12">
                  <c:v>1.4085499999999999E-3</c:v>
                </c:pt>
                <c:pt idx="13">
                  <c:v>1.21334E-3</c:v>
                </c:pt>
                <c:pt idx="14">
                  <c:v>1.1406299999999999E-3</c:v>
                </c:pt>
                <c:pt idx="15">
                  <c:v>1.8480960000000001E-2</c:v>
                </c:pt>
                <c:pt idx="16">
                  <c:v>4.6766999999999998E-3</c:v>
                </c:pt>
                <c:pt idx="17">
                  <c:v>2.9149600000000001E-2</c:v>
                </c:pt>
                <c:pt idx="18">
                  <c:v>3.1440000000000001E-3</c:v>
                </c:pt>
                <c:pt idx="19">
                  <c:v>8.9393999999999997E-4</c:v>
                </c:pt>
              </c:numCache>
            </c:numRef>
          </c:yVal>
          <c:smooth val="0"/>
        </c:ser>
        <c:dLbls>
          <c:showLegendKey val="0"/>
          <c:showVal val="0"/>
          <c:showCatName val="0"/>
          <c:showSerName val="0"/>
          <c:showPercent val="0"/>
          <c:showBubbleSize val="0"/>
        </c:dLbls>
        <c:axId val="590176376"/>
        <c:axId val="590176768"/>
      </c:scatterChart>
      <c:valAx>
        <c:axId val="5901763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6768"/>
        <c:crosses val="autoZero"/>
        <c:crossBetween val="midCat"/>
      </c:valAx>
      <c:valAx>
        <c:axId val="5901767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637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2478008302274009"/>
                  <c:y val="-9.437929301390517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'JBT18'!$C$2:$C$21</c:f>
              <c:numCache>
                <c:formatCode>General</c:formatCode>
                <c:ptCount val="20"/>
                <c:pt idx="0">
                  <c:v>333800</c:v>
                </c:pt>
                <c:pt idx="1">
                  <c:v>102100</c:v>
                </c:pt>
                <c:pt idx="2">
                  <c:v>100100</c:v>
                </c:pt>
                <c:pt idx="3">
                  <c:v>100100</c:v>
                </c:pt>
                <c:pt idx="4">
                  <c:v>98000</c:v>
                </c:pt>
                <c:pt idx="5">
                  <c:v>197100</c:v>
                </c:pt>
                <c:pt idx="6">
                  <c:v>51300</c:v>
                </c:pt>
                <c:pt idx="7">
                  <c:v>30900</c:v>
                </c:pt>
                <c:pt idx="8">
                  <c:v>17300</c:v>
                </c:pt>
                <c:pt idx="9">
                  <c:v>21200</c:v>
                </c:pt>
                <c:pt idx="10">
                  <c:v>600</c:v>
                </c:pt>
                <c:pt idx="11">
                  <c:v>18300</c:v>
                </c:pt>
                <c:pt idx="12">
                  <c:v>19700</c:v>
                </c:pt>
                <c:pt idx="13">
                  <c:v>20600</c:v>
                </c:pt>
                <c:pt idx="14">
                  <c:v>19700</c:v>
                </c:pt>
                <c:pt idx="15">
                  <c:v>248400</c:v>
                </c:pt>
                <c:pt idx="16">
                  <c:v>78600</c:v>
                </c:pt>
                <c:pt idx="17">
                  <c:v>175600</c:v>
                </c:pt>
                <c:pt idx="18">
                  <c:v>78600</c:v>
                </c:pt>
                <c:pt idx="19">
                  <c:v>31700</c:v>
                </c:pt>
              </c:numCache>
            </c:numRef>
          </c:xVal>
          <c:yVal>
            <c:numRef>
              <c:f>'JBT18'!$I$2:$I$21</c:f>
              <c:numCache>
                <c:formatCode>General</c:formatCode>
                <c:ptCount val="20"/>
                <c:pt idx="0">
                  <c:v>0.42058800000000002</c:v>
                </c:pt>
                <c:pt idx="1">
                  <c:v>0.115373</c:v>
                </c:pt>
                <c:pt idx="2">
                  <c:v>9.9099000000000007E-2</c:v>
                </c:pt>
                <c:pt idx="3">
                  <c:v>0.10610600000000001</c:v>
                </c:pt>
                <c:pt idx="4">
                  <c:v>0.10780000000000001</c:v>
                </c:pt>
                <c:pt idx="5">
                  <c:v>0.13994100000000001</c:v>
                </c:pt>
                <c:pt idx="6">
                  <c:v>4.0014000000000001E-2</c:v>
                </c:pt>
                <c:pt idx="7">
                  <c:v>2.9354999999999999E-2</c:v>
                </c:pt>
                <c:pt idx="8">
                  <c:v>1.3667E-2</c:v>
                </c:pt>
                <c:pt idx="9">
                  <c:v>2.6499999999999999E-2</c:v>
                </c:pt>
                <c:pt idx="10">
                  <c:v>7.9799999999999999E-4</c:v>
                </c:pt>
                <c:pt idx="11">
                  <c:v>3.7331999999999997E-2</c:v>
                </c:pt>
                <c:pt idx="12">
                  <c:v>3.7429999999999998E-2</c:v>
                </c:pt>
                <c:pt idx="13">
                  <c:v>3.3166000000000001E-2</c:v>
                </c:pt>
                <c:pt idx="14">
                  <c:v>2.7185999999999998E-2</c:v>
                </c:pt>
                <c:pt idx="15">
                  <c:v>0.24343200000000001</c:v>
                </c:pt>
                <c:pt idx="16">
                  <c:v>8.3316000000000001E-2</c:v>
                </c:pt>
                <c:pt idx="17">
                  <c:v>0.20194000000000001</c:v>
                </c:pt>
                <c:pt idx="18">
                  <c:v>8.6459999999999995E-2</c:v>
                </c:pt>
                <c:pt idx="19">
                  <c:v>2.6311000000000001E-2</c:v>
                </c:pt>
              </c:numCache>
            </c:numRef>
          </c:yVal>
          <c:smooth val="0"/>
        </c:ser>
        <c:dLbls>
          <c:showLegendKey val="0"/>
          <c:showVal val="0"/>
          <c:showCatName val="0"/>
          <c:showSerName val="0"/>
          <c:showPercent val="0"/>
          <c:showBubbleSize val="0"/>
        </c:dLbls>
        <c:axId val="590177552"/>
        <c:axId val="590177944"/>
      </c:scatterChart>
      <c:valAx>
        <c:axId val="5901775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7944"/>
        <c:crosses val="autoZero"/>
        <c:crossBetween val="midCat"/>
      </c:valAx>
      <c:valAx>
        <c:axId val="590177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755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JBT18_SameDuration!$G$2:$G$14</c:f>
              <c:numCache>
                <c:formatCode>General</c:formatCode>
                <c:ptCount val="13"/>
                <c:pt idx="1">
                  <c:v>197100</c:v>
                </c:pt>
                <c:pt idx="2">
                  <c:v>51300</c:v>
                </c:pt>
                <c:pt idx="3">
                  <c:v>30900</c:v>
                </c:pt>
                <c:pt idx="4">
                  <c:v>17300</c:v>
                </c:pt>
                <c:pt idx="5">
                  <c:v>21200</c:v>
                </c:pt>
                <c:pt idx="6">
                  <c:v>600</c:v>
                </c:pt>
                <c:pt idx="9">
                  <c:v>78600</c:v>
                </c:pt>
                <c:pt idx="11">
                  <c:v>78600</c:v>
                </c:pt>
                <c:pt idx="12">
                  <c:v>31700</c:v>
                </c:pt>
              </c:numCache>
            </c:numRef>
          </c:xVal>
          <c:yVal>
            <c:numRef>
              <c:f>JBT18_SameDuration!$H$2:$H$14</c:f>
              <c:numCache>
                <c:formatCode>General</c:formatCode>
                <c:ptCount val="13"/>
                <c:pt idx="1">
                  <c:v>1.5925680000000001E-2</c:v>
                </c:pt>
                <c:pt idx="2">
                  <c:v>2.5496099999999999E-3</c:v>
                </c:pt>
                <c:pt idx="3">
                  <c:v>2.75319E-3</c:v>
                </c:pt>
                <c:pt idx="4">
                  <c:v>8.0444999999999996E-4</c:v>
                </c:pt>
                <c:pt idx="5">
                  <c:v>3.392E-3</c:v>
                </c:pt>
                <c:pt idx="6">
                  <c:v>4.2719999999999998E-5</c:v>
                </c:pt>
                <c:pt idx="9">
                  <c:v>1.0611000000000001E-2</c:v>
                </c:pt>
                <c:pt idx="11">
                  <c:v>5.2268999999999996E-3</c:v>
                </c:pt>
                <c:pt idx="12">
                  <c:v>1.37261E-3</c:v>
                </c:pt>
              </c:numCache>
            </c:numRef>
          </c:yVal>
          <c:smooth val="0"/>
        </c:ser>
        <c:dLbls>
          <c:showLegendKey val="0"/>
          <c:showVal val="0"/>
          <c:showCatName val="0"/>
          <c:showSerName val="0"/>
          <c:showPercent val="0"/>
          <c:showBubbleSize val="0"/>
        </c:dLbls>
        <c:axId val="590178728"/>
        <c:axId val="590179120"/>
      </c:scatterChart>
      <c:valAx>
        <c:axId val="5901787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9120"/>
        <c:crosses val="autoZero"/>
        <c:crossBetween val="midCat"/>
      </c:valAx>
      <c:valAx>
        <c:axId val="5901791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87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JBT18_SameDuration!$G$2:$G$14</c:f>
              <c:numCache>
                <c:formatCode>General</c:formatCode>
                <c:ptCount val="13"/>
                <c:pt idx="1">
                  <c:v>197100</c:v>
                </c:pt>
                <c:pt idx="2">
                  <c:v>51300</c:v>
                </c:pt>
                <c:pt idx="3">
                  <c:v>30900</c:v>
                </c:pt>
                <c:pt idx="4">
                  <c:v>17300</c:v>
                </c:pt>
                <c:pt idx="5">
                  <c:v>21200</c:v>
                </c:pt>
                <c:pt idx="6">
                  <c:v>600</c:v>
                </c:pt>
                <c:pt idx="9">
                  <c:v>78600</c:v>
                </c:pt>
                <c:pt idx="11">
                  <c:v>78600</c:v>
                </c:pt>
                <c:pt idx="12">
                  <c:v>31700</c:v>
                </c:pt>
              </c:numCache>
            </c:numRef>
          </c:xVal>
          <c:yVal>
            <c:numRef>
              <c:f>JBT18_SameDuration!$I$2:$I$14</c:f>
              <c:numCache>
                <c:formatCode>General</c:formatCode>
                <c:ptCount val="13"/>
                <c:pt idx="1">
                  <c:v>7.0758899999999996E-3</c:v>
                </c:pt>
                <c:pt idx="2">
                  <c:v>8.208E-4</c:v>
                </c:pt>
                <c:pt idx="3">
                  <c:v>7.1069999999999998E-4</c:v>
                </c:pt>
                <c:pt idx="4">
                  <c:v>1.4878E-4</c:v>
                </c:pt>
                <c:pt idx="5">
                  <c:v>6.5932000000000002E-4</c:v>
                </c:pt>
                <c:pt idx="9">
                  <c:v>4.6766999999999998E-3</c:v>
                </c:pt>
                <c:pt idx="11">
                  <c:v>3.1440000000000001E-3</c:v>
                </c:pt>
                <c:pt idx="12">
                  <c:v>8.9393999999999997E-4</c:v>
                </c:pt>
              </c:numCache>
            </c:numRef>
          </c:yVal>
          <c:smooth val="0"/>
        </c:ser>
        <c:dLbls>
          <c:showLegendKey val="0"/>
          <c:showVal val="0"/>
          <c:showCatName val="0"/>
          <c:showSerName val="0"/>
          <c:showPercent val="0"/>
          <c:showBubbleSize val="0"/>
        </c:dLbls>
        <c:axId val="590179904"/>
        <c:axId val="590180296"/>
      </c:scatterChart>
      <c:valAx>
        <c:axId val="5901799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80296"/>
        <c:crosses val="autoZero"/>
        <c:crossBetween val="midCat"/>
      </c:valAx>
      <c:valAx>
        <c:axId val="5901802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799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JBT18_SameDuration!$G$2:$G$14</c:f>
              <c:numCache>
                <c:formatCode>General</c:formatCode>
                <c:ptCount val="13"/>
                <c:pt idx="1">
                  <c:v>197100</c:v>
                </c:pt>
                <c:pt idx="2">
                  <c:v>51300</c:v>
                </c:pt>
                <c:pt idx="3">
                  <c:v>30900</c:v>
                </c:pt>
                <c:pt idx="4">
                  <c:v>17300</c:v>
                </c:pt>
                <c:pt idx="5">
                  <c:v>21200</c:v>
                </c:pt>
                <c:pt idx="6">
                  <c:v>600</c:v>
                </c:pt>
                <c:pt idx="9">
                  <c:v>78600</c:v>
                </c:pt>
                <c:pt idx="11">
                  <c:v>78600</c:v>
                </c:pt>
                <c:pt idx="12">
                  <c:v>31700</c:v>
                </c:pt>
              </c:numCache>
            </c:numRef>
          </c:xVal>
          <c:yVal>
            <c:numRef>
              <c:f>JBT18_SameDuration!$J$2:$J$14</c:f>
              <c:numCache>
                <c:formatCode>General</c:formatCode>
                <c:ptCount val="13"/>
                <c:pt idx="1">
                  <c:v>0.13994100000000001</c:v>
                </c:pt>
                <c:pt idx="2">
                  <c:v>4.0014000000000001E-2</c:v>
                </c:pt>
                <c:pt idx="3">
                  <c:v>2.9354999999999999E-2</c:v>
                </c:pt>
                <c:pt idx="4">
                  <c:v>1.3667E-2</c:v>
                </c:pt>
                <c:pt idx="5">
                  <c:v>2.6499999999999999E-2</c:v>
                </c:pt>
                <c:pt idx="6">
                  <c:v>7.9799999999999999E-4</c:v>
                </c:pt>
                <c:pt idx="9">
                  <c:v>8.3316000000000001E-2</c:v>
                </c:pt>
                <c:pt idx="11">
                  <c:v>8.6459999999999995E-2</c:v>
                </c:pt>
                <c:pt idx="12">
                  <c:v>2.6311000000000001E-2</c:v>
                </c:pt>
              </c:numCache>
            </c:numRef>
          </c:yVal>
          <c:smooth val="0"/>
        </c:ser>
        <c:dLbls>
          <c:showLegendKey val="0"/>
          <c:showVal val="0"/>
          <c:showCatName val="0"/>
          <c:showSerName val="0"/>
          <c:showPercent val="0"/>
          <c:showBubbleSize val="0"/>
        </c:dLbls>
        <c:axId val="590181080"/>
        <c:axId val="592781672"/>
      </c:scatterChart>
      <c:valAx>
        <c:axId val="5901810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1672"/>
        <c:crosses val="autoZero"/>
        <c:crossBetween val="midCat"/>
      </c:valAx>
      <c:valAx>
        <c:axId val="5927816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1810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JBT02_SameDuration!$G$2:$G$14</c:f>
              <c:numCache>
                <c:formatCode>General</c:formatCode>
                <c:ptCount val="13"/>
                <c:pt idx="0">
                  <c:v>167500</c:v>
                </c:pt>
                <c:pt idx="1">
                  <c:v>35200</c:v>
                </c:pt>
                <c:pt idx="3">
                  <c:v>32300</c:v>
                </c:pt>
                <c:pt idx="4">
                  <c:v>32100</c:v>
                </c:pt>
                <c:pt idx="5">
                  <c:v>18400</c:v>
                </c:pt>
                <c:pt idx="6">
                  <c:v>33000</c:v>
                </c:pt>
                <c:pt idx="9">
                  <c:v>106900</c:v>
                </c:pt>
                <c:pt idx="10">
                  <c:v>50500</c:v>
                </c:pt>
                <c:pt idx="11">
                  <c:v>10200</c:v>
                </c:pt>
                <c:pt idx="12">
                  <c:v>1300</c:v>
                </c:pt>
              </c:numCache>
            </c:numRef>
          </c:xVal>
          <c:yVal>
            <c:numRef>
              <c:f>JBT02_SameDuration!$H$2:$H$14</c:f>
              <c:numCache>
                <c:formatCode>General</c:formatCode>
                <c:ptCount val="13"/>
                <c:pt idx="0">
                  <c:v>0.12741949999999999</c:v>
                </c:pt>
                <c:pt idx="1">
                  <c:v>3.8368E-3</c:v>
                </c:pt>
                <c:pt idx="3">
                  <c:v>2.5355500000000001E-3</c:v>
                </c:pt>
                <c:pt idx="4">
                  <c:v>2.1603299999999998E-3</c:v>
                </c:pt>
                <c:pt idx="5">
                  <c:v>8.832E-4</c:v>
                </c:pt>
                <c:pt idx="6">
                  <c:v>2.9997000000000001E-3</c:v>
                </c:pt>
                <c:pt idx="9">
                  <c:v>3.8600099999999998E-2</c:v>
                </c:pt>
                <c:pt idx="10">
                  <c:v>9.4435000000000005E-3</c:v>
                </c:pt>
                <c:pt idx="11">
                  <c:v>7.4562000000000001E-4</c:v>
                </c:pt>
                <c:pt idx="12">
                  <c:v>8.3070000000000003E-5</c:v>
                </c:pt>
              </c:numCache>
            </c:numRef>
          </c:yVal>
          <c:smooth val="0"/>
        </c:ser>
        <c:dLbls>
          <c:showLegendKey val="0"/>
          <c:showVal val="0"/>
          <c:showCatName val="0"/>
          <c:showSerName val="0"/>
          <c:showPercent val="0"/>
          <c:showBubbleSize val="0"/>
        </c:dLbls>
        <c:axId val="446979952"/>
        <c:axId val="446981520"/>
      </c:scatterChart>
      <c:valAx>
        <c:axId val="4469799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981520"/>
        <c:crosses val="autoZero"/>
        <c:crossBetween val="midCat"/>
      </c:valAx>
      <c:valAx>
        <c:axId val="4469815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97995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JBT18_SameDuration!$G$2:$G$14</c:f>
              <c:numCache>
                <c:formatCode>General</c:formatCode>
                <c:ptCount val="13"/>
                <c:pt idx="1">
                  <c:v>197100</c:v>
                </c:pt>
                <c:pt idx="2">
                  <c:v>51300</c:v>
                </c:pt>
                <c:pt idx="3">
                  <c:v>30900</c:v>
                </c:pt>
                <c:pt idx="4">
                  <c:v>17300</c:v>
                </c:pt>
                <c:pt idx="5">
                  <c:v>21200</c:v>
                </c:pt>
                <c:pt idx="6">
                  <c:v>600</c:v>
                </c:pt>
                <c:pt idx="9">
                  <c:v>78600</c:v>
                </c:pt>
                <c:pt idx="11">
                  <c:v>78600</c:v>
                </c:pt>
                <c:pt idx="12">
                  <c:v>31700</c:v>
                </c:pt>
              </c:numCache>
            </c:numRef>
          </c:xVal>
          <c:yVal>
            <c:numRef>
              <c:f>JBT18_SameDuration!$H$2:$H$14</c:f>
              <c:numCache>
                <c:formatCode>General</c:formatCode>
                <c:ptCount val="13"/>
                <c:pt idx="1">
                  <c:v>1.5925680000000001E-2</c:v>
                </c:pt>
                <c:pt idx="2">
                  <c:v>2.5496099999999999E-3</c:v>
                </c:pt>
                <c:pt idx="3">
                  <c:v>2.75319E-3</c:v>
                </c:pt>
                <c:pt idx="4">
                  <c:v>8.0444999999999996E-4</c:v>
                </c:pt>
                <c:pt idx="5">
                  <c:v>3.392E-3</c:v>
                </c:pt>
                <c:pt idx="6">
                  <c:v>4.2719999999999998E-5</c:v>
                </c:pt>
                <c:pt idx="9">
                  <c:v>1.0611000000000001E-2</c:v>
                </c:pt>
                <c:pt idx="11">
                  <c:v>5.2268999999999996E-3</c:v>
                </c:pt>
                <c:pt idx="12">
                  <c:v>1.37261E-3</c:v>
                </c:pt>
              </c:numCache>
            </c:numRef>
          </c:yVal>
          <c:smooth val="0"/>
        </c:ser>
        <c:dLbls>
          <c:showLegendKey val="0"/>
          <c:showVal val="0"/>
          <c:showCatName val="0"/>
          <c:showSerName val="0"/>
          <c:showPercent val="0"/>
          <c:showBubbleSize val="0"/>
        </c:dLbls>
        <c:axId val="592782456"/>
        <c:axId val="592782848"/>
      </c:scatterChart>
      <c:valAx>
        <c:axId val="5927824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2848"/>
        <c:crosses val="autoZero"/>
        <c:crossBetween val="midCat"/>
      </c:valAx>
      <c:valAx>
        <c:axId val="5927828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24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JBT18_SameDuration!$G$2:$G$14</c:f>
              <c:numCache>
                <c:formatCode>General</c:formatCode>
                <c:ptCount val="13"/>
                <c:pt idx="1">
                  <c:v>197100</c:v>
                </c:pt>
                <c:pt idx="2">
                  <c:v>51300</c:v>
                </c:pt>
                <c:pt idx="3">
                  <c:v>30900</c:v>
                </c:pt>
                <c:pt idx="4">
                  <c:v>17300</c:v>
                </c:pt>
                <c:pt idx="5">
                  <c:v>21200</c:v>
                </c:pt>
                <c:pt idx="6">
                  <c:v>600</c:v>
                </c:pt>
                <c:pt idx="9">
                  <c:v>78600</c:v>
                </c:pt>
                <c:pt idx="11">
                  <c:v>78600</c:v>
                </c:pt>
                <c:pt idx="12">
                  <c:v>31700</c:v>
                </c:pt>
              </c:numCache>
            </c:numRef>
          </c:xVal>
          <c:yVal>
            <c:numRef>
              <c:f>JBT18_SameDuration!$I$2:$I$14</c:f>
              <c:numCache>
                <c:formatCode>General</c:formatCode>
                <c:ptCount val="13"/>
                <c:pt idx="1">
                  <c:v>7.0758899999999996E-3</c:v>
                </c:pt>
                <c:pt idx="2">
                  <c:v>8.208E-4</c:v>
                </c:pt>
                <c:pt idx="3">
                  <c:v>7.1069999999999998E-4</c:v>
                </c:pt>
                <c:pt idx="4">
                  <c:v>1.4878E-4</c:v>
                </c:pt>
                <c:pt idx="5">
                  <c:v>6.5932000000000002E-4</c:v>
                </c:pt>
                <c:pt idx="9">
                  <c:v>4.6766999999999998E-3</c:v>
                </c:pt>
                <c:pt idx="11">
                  <c:v>3.1440000000000001E-3</c:v>
                </c:pt>
                <c:pt idx="12">
                  <c:v>8.9393999999999997E-4</c:v>
                </c:pt>
              </c:numCache>
            </c:numRef>
          </c:yVal>
          <c:smooth val="0"/>
        </c:ser>
        <c:dLbls>
          <c:showLegendKey val="0"/>
          <c:showVal val="0"/>
          <c:showCatName val="0"/>
          <c:showSerName val="0"/>
          <c:showPercent val="0"/>
          <c:showBubbleSize val="0"/>
        </c:dLbls>
        <c:axId val="592783632"/>
        <c:axId val="592784024"/>
      </c:scatterChart>
      <c:valAx>
        <c:axId val="5927836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4024"/>
        <c:crosses val="autoZero"/>
        <c:crossBetween val="midCat"/>
      </c:valAx>
      <c:valAx>
        <c:axId val="5927840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36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JBT18_SameDuration!$J$1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JBT18_SameDuration!$G$2:$G$14</c:f>
              <c:numCache>
                <c:formatCode>General</c:formatCode>
                <c:ptCount val="13"/>
                <c:pt idx="1">
                  <c:v>197100</c:v>
                </c:pt>
                <c:pt idx="2">
                  <c:v>51300</c:v>
                </c:pt>
                <c:pt idx="3">
                  <c:v>30900</c:v>
                </c:pt>
                <c:pt idx="4">
                  <c:v>17300</c:v>
                </c:pt>
                <c:pt idx="5">
                  <c:v>21200</c:v>
                </c:pt>
                <c:pt idx="6">
                  <c:v>600</c:v>
                </c:pt>
                <c:pt idx="9">
                  <c:v>78600</c:v>
                </c:pt>
                <c:pt idx="11">
                  <c:v>78600</c:v>
                </c:pt>
                <c:pt idx="12">
                  <c:v>31700</c:v>
                </c:pt>
              </c:numCache>
            </c:numRef>
          </c:xVal>
          <c:yVal>
            <c:numRef>
              <c:f>JBT18_SameDuration!$J$2:$J$14</c:f>
              <c:numCache>
                <c:formatCode>General</c:formatCode>
                <c:ptCount val="13"/>
                <c:pt idx="1">
                  <c:v>0.13994100000000001</c:v>
                </c:pt>
                <c:pt idx="2">
                  <c:v>4.0014000000000001E-2</c:v>
                </c:pt>
                <c:pt idx="3">
                  <c:v>2.9354999999999999E-2</c:v>
                </c:pt>
                <c:pt idx="4">
                  <c:v>1.3667E-2</c:v>
                </c:pt>
                <c:pt idx="5">
                  <c:v>2.6499999999999999E-2</c:v>
                </c:pt>
                <c:pt idx="6">
                  <c:v>7.9799999999999999E-4</c:v>
                </c:pt>
                <c:pt idx="9">
                  <c:v>8.3316000000000001E-2</c:v>
                </c:pt>
                <c:pt idx="11">
                  <c:v>8.6459999999999995E-2</c:v>
                </c:pt>
                <c:pt idx="12">
                  <c:v>2.6311000000000001E-2</c:v>
                </c:pt>
              </c:numCache>
            </c:numRef>
          </c:yVal>
          <c:smooth val="0"/>
        </c:ser>
        <c:dLbls>
          <c:showLegendKey val="0"/>
          <c:showVal val="0"/>
          <c:showCatName val="0"/>
          <c:showSerName val="0"/>
          <c:showPercent val="0"/>
          <c:showBubbleSize val="0"/>
        </c:dLbls>
        <c:axId val="592784808"/>
        <c:axId val="592785200"/>
      </c:scatterChart>
      <c:valAx>
        <c:axId val="5927848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5200"/>
        <c:crosses val="autoZero"/>
        <c:crossBetween val="midCat"/>
      </c:valAx>
      <c:valAx>
        <c:axId val="5927852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48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34708070866141733"/>
                  <c:y val="-4.568591821949857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'JBT19'!$C$2:$C$18</c:f>
              <c:numCache>
                <c:formatCode>General</c:formatCode>
                <c:ptCount val="17"/>
                <c:pt idx="0">
                  <c:v>360400</c:v>
                </c:pt>
                <c:pt idx="1">
                  <c:v>108800</c:v>
                </c:pt>
                <c:pt idx="2">
                  <c:v>100000</c:v>
                </c:pt>
                <c:pt idx="3">
                  <c:v>198400</c:v>
                </c:pt>
                <c:pt idx="4">
                  <c:v>194000</c:v>
                </c:pt>
                <c:pt idx="5">
                  <c:v>51300</c:v>
                </c:pt>
                <c:pt idx="6">
                  <c:v>30100</c:v>
                </c:pt>
                <c:pt idx="7">
                  <c:v>10500</c:v>
                </c:pt>
                <c:pt idx="8">
                  <c:v>3100</c:v>
                </c:pt>
                <c:pt idx="9">
                  <c:v>18400</c:v>
                </c:pt>
                <c:pt idx="10">
                  <c:v>20300</c:v>
                </c:pt>
                <c:pt idx="11">
                  <c:v>39900</c:v>
                </c:pt>
                <c:pt idx="12">
                  <c:v>295400</c:v>
                </c:pt>
                <c:pt idx="13">
                  <c:v>106800</c:v>
                </c:pt>
                <c:pt idx="14">
                  <c:v>293900</c:v>
                </c:pt>
                <c:pt idx="15">
                  <c:v>144400</c:v>
                </c:pt>
                <c:pt idx="16">
                  <c:v>65400</c:v>
                </c:pt>
              </c:numCache>
            </c:numRef>
          </c:xVal>
          <c:yVal>
            <c:numRef>
              <c:f>'JBT19'!$G$2:$G$18</c:f>
              <c:numCache>
                <c:formatCode>General</c:formatCode>
                <c:ptCount val="17"/>
                <c:pt idx="0">
                  <c:v>2.01824E-2</c:v>
                </c:pt>
                <c:pt idx="1">
                  <c:v>4.3628800000000004E-3</c:v>
                </c:pt>
                <c:pt idx="2">
                  <c:v>2.0899999999999998E-3</c:v>
                </c:pt>
                <c:pt idx="3">
                  <c:v>1.095168E-2</c:v>
                </c:pt>
                <c:pt idx="4">
                  <c:v>3.4144000000000002E-3</c:v>
                </c:pt>
                <c:pt idx="5">
                  <c:v>2.8009799999999998E-3</c:v>
                </c:pt>
                <c:pt idx="6">
                  <c:v>6.5618000000000002E-4</c:v>
                </c:pt>
                <c:pt idx="7">
                  <c:v>8.5154999999999996E-4</c:v>
                </c:pt>
                <c:pt idx="8">
                  <c:v>4.6809999999999999E-4</c:v>
                </c:pt>
                <c:pt idx="9">
                  <c:v>2.9992E-3</c:v>
                </c:pt>
                <c:pt idx="10">
                  <c:v>1.05966E-3</c:v>
                </c:pt>
                <c:pt idx="11">
                  <c:v>2.06682E-3</c:v>
                </c:pt>
                <c:pt idx="12">
                  <c:v>1.222956E-2</c:v>
                </c:pt>
                <c:pt idx="13">
                  <c:v>4.83804E-3</c:v>
                </c:pt>
                <c:pt idx="14">
                  <c:v>2.330627E-2</c:v>
                </c:pt>
                <c:pt idx="15">
                  <c:v>4.23092E-3</c:v>
                </c:pt>
                <c:pt idx="16">
                  <c:v>2.1451199999999999E-3</c:v>
                </c:pt>
              </c:numCache>
            </c:numRef>
          </c:yVal>
          <c:smooth val="0"/>
        </c:ser>
        <c:dLbls>
          <c:showLegendKey val="0"/>
          <c:showVal val="0"/>
          <c:showCatName val="0"/>
          <c:showSerName val="0"/>
          <c:showPercent val="0"/>
          <c:showBubbleSize val="0"/>
        </c:dLbls>
        <c:axId val="592785984"/>
        <c:axId val="592786376"/>
      </c:scatterChart>
      <c:valAx>
        <c:axId val="5927859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6376"/>
        <c:crosses val="autoZero"/>
        <c:crossBetween val="midCat"/>
      </c:valAx>
      <c:valAx>
        <c:axId val="5927863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59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8500044666215751"/>
                  <c:y val="9.7376928493694385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'JBT19'!$C$2:$C$18</c:f>
              <c:numCache>
                <c:formatCode>General</c:formatCode>
                <c:ptCount val="17"/>
                <c:pt idx="0">
                  <c:v>360400</c:v>
                </c:pt>
                <c:pt idx="1">
                  <c:v>108800</c:v>
                </c:pt>
                <c:pt idx="2">
                  <c:v>100000</c:v>
                </c:pt>
                <c:pt idx="3">
                  <c:v>198400</c:v>
                </c:pt>
                <c:pt idx="4">
                  <c:v>194000</c:v>
                </c:pt>
                <c:pt idx="5">
                  <c:v>51300</c:v>
                </c:pt>
                <c:pt idx="6">
                  <c:v>30100</c:v>
                </c:pt>
                <c:pt idx="7">
                  <c:v>10500</c:v>
                </c:pt>
                <c:pt idx="8">
                  <c:v>3100</c:v>
                </c:pt>
                <c:pt idx="9">
                  <c:v>18400</c:v>
                </c:pt>
                <c:pt idx="10">
                  <c:v>20300</c:v>
                </c:pt>
                <c:pt idx="11">
                  <c:v>39900</c:v>
                </c:pt>
                <c:pt idx="12">
                  <c:v>295400</c:v>
                </c:pt>
                <c:pt idx="13">
                  <c:v>106800</c:v>
                </c:pt>
                <c:pt idx="14">
                  <c:v>293900</c:v>
                </c:pt>
                <c:pt idx="15">
                  <c:v>144400</c:v>
                </c:pt>
                <c:pt idx="16">
                  <c:v>65400</c:v>
                </c:pt>
              </c:numCache>
            </c:numRef>
          </c:xVal>
          <c:yVal>
            <c:numRef>
              <c:f>'JBT19'!$H$2:$H$18</c:f>
              <c:numCache>
                <c:formatCode>General</c:formatCode>
                <c:ptCount val="17"/>
                <c:pt idx="0">
                  <c:v>7.6044399999999996E-3</c:v>
                </c:pt>
                <c:pt idx="1">
                  <c:v>3.1660799999999999E-3</c:v>
                </c:pt>
                <c:pt idx="2">
                  <c:v>1.2199999999999999E-3</c:v>
                </c:pt>
                <c:pt idx="3">
                  <c:v>4.0473599999999998E-3</c:v>
                </c:pt>
                <c:pt idx="4">
                  <c:v>2.4443999999999998E-3</c:v>
                </c:pt>
                <c:pt idx="5">
                  <c:v>1.1337299999999999E-3</c:v>
                </c:pt>
                <c:pt idx="6">
                  <c:v>3.1304E-4</c:v>
                </c:pt>
                <c:pt idx="7">
                  <c:v>2.4254999999999999E-4</c:v>
                </c:pt>
                <c:pt idx="9">
                  <c:v>1.35608E-3</c:v>
                </c:pt>
                <c:pt idx="10">
                  <c:v>7.9982000000000002E-4</c:v>
                </c:pt>
                <c:pt idx="11">
                  <c:v>1.6319100000000001E-3</c:v>
                </c:pt>
                <c:pt idx="12">
                  <c:v>9.2460200000000006E-3</c:v>
                </c:pt>
                <c:pt idx="13">
                  <c:v>2.3282400000000001E-3</c:v>
                </c:pt>
                <c:pt idx="14">
                  <c:v>2.1807380000000001E-2</c:v>
                </c:pt>
                <c:pt idx="15">
                  <c:v>3.9709999999999997E-3</c:v>
                </c:pt>
                <c:pt idx="16">
                  <c:v>1.22298E-3</c:v>
                </c:pt>
              </c:numCache>
            </c:numRef>
          </c:yVal>
          <c:smooth val="0"/>
        </c:ser>
        <c:dLbls>
          <c:showLegendKey val="0"/>
          <c:showVal val="0"/>
          <c:showCatName val="0"/>
          <c:showSerName val="0"/>
          <c:showPercent val="0"/>
          <c:showBubbleSize val="0"/>
        </c:dLbls>
        <c:axId val="592787160"/>
        <c:axId val="592787552"/>
      </c:scatterChart>
      <c:valAx>
        <c:axId val="5927871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7552"/>
        <c:crosses val="autoZero"/>
        <c:crossBetween val="midCat"/>
      </c:valAx>
      <c:valAx>
        <c:axId val="5927875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71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0766900300628818"/>
                  <c:y val="-7.68526274641201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'JBT19'!$C$2:$C$18</c:f>
              <c:numCache>
                <c:formatCode>General</c:formatCode>
                <c:ptCount val="17"/>
                <c:pt idx="0">
                  <c:v>360400</c:v>
                </c:pt>
                <c:pt idx="1">
                  <c:v>108800</c:v>
                </c:pt>
                <c:pt idx="2">
                  <c:v>100000</c:v>
                </c:pt>
                <c:pt idx="3">
                  <c:v>198400</c:v>
                </c:pt>
                <c:pt idx="4">
                  <c:v>194000</c:v>
                </c:pt>
                <c:pt idx="5">
                  <c:v>51300</c:v>
                </c:pt>
                <c:pt idx="6">
                  <c:v>30100</c:v>
                </c:pt>
                <c:pt idx="7">
                  <c:v>10500</c:v>
                </c:pt>
                <c:pt idx="8">
                  <c:v>3100</c:v>
                </c:pt>
                <c:pt idx="9">
                  <c:v>18400</c:v>
                </c:pt>
                <c:pt idx="10">
                  <c:v>20300</c:v>
                </c:pt>
                <c:pt idx="11">
                  <c:v>39900</c:v>
                </c:pt>
                <c:pt idx="12">
                  <c:v>295400</c:v>
                </c:pt>
                <c:pt idx="13">
                  <c:v>106800</c:v>
                </c:pt>
                <c:pt idx="14">
                  <c:v>293900</c:v>
                </c:pt>
                <c:pt idx="15">
                  <c:v>144400</c:v>
                </c:pt>
                <c:pt idx="16">
                  <c:v>65400</c:v>
                </c:pt>
              </c:numCache>
            </c:numRef>
          </c:xVal>
          <c:yVal>
            <c:numRef>
              <c:f>'JBT19'!$I$2:$I$18</c:f>
              <c:numCache>
                <c:formatCode>General</c:formatCode>
                <c:ptCount val="17"/>
                <c:pt idx="0">
                  <c:v>0.39644000000000001</c:v>
                </c:pt>
                <c:pt idx="1">
                  <c:v>8.2687999999999998E-2</c:v>
                </c:pt>
                <c:pt idx="2">
                  <c:v>6.0999999999999999E-2</c:v>
                </c:pt>
                <c:pt idx="3">
                  <c:v>0.162688</c:v>
                </c:pt>
                <c:pt idx="4">
                  <c:v>8.7300000000000003E-2</c:v>
                </c:pt>
                <c:pt idx="5">
                  <c:v>5.1299999999999998E-2</c:v>
                </c:pt>
                <c:pt idx="6">
                  <c:v>1.4749E-2</c:v>
                </c:pt>
                <c:pt idx="7">
                  <c:v>9.5549999999999993E-3</c:v>
                </c:pt>
                <c:pt idx="8">
                  <c:v>3.8440000000000002E-3</c:v>
                </c:pt>
                <c:pt idx="9">
                  <c:v>3.7536E-2</c:v>
                </c:pt>
                <c:pt idx="10">
                  <c:v>1.7864000000000001E-2</c:v>
                </c:pt>
                <c:pt idx="11">
                  <c:v>3.7505999999999998E-2</c:v>
                </c:pt>
                <c:pt idx="12">
                  <c:v>0.209734</c:v>
                </c:pt>
                <c:pt idx="13">
                  <c:v>6.0876E-2</c:v>
                </c:pt>
                <c:pt idx="14">
                  <c:v>0.30859500000000001</c:v>
                </c:pt>
                <c:pt idx="15">
                  <c:v>0.10541200000000001</c:v>
                </c:pt>
                <c:pt idx="16">
                  <c:v>3.7932E-2</c:v>
                </c:pt>
              </c:numCache>
            </c:numRef>
          </c:yVal>
          <c:smooth val="0"/>
        </c:ser>
        <c:dLbls>
          <c:showLegendKey val="0"/>
          <c:showVal val="0"/>
          <c:showCatName val="0"/>
          <c:showSerName val="0"/>
          <c:showPercent val="0"/>
          <c:showBubbleSize val="0"/>
        </c:dLbls>
        <c:axId val="592788336"/>
        <c:axId val="592788728"/>
      </c:scatterChart>
      <c:valAx>
        <c:axId val="5927883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8728"/>
        <c:crosses val="autoZero"/>
        <c:crossBetween val="midCat"/>
      </c:valAx>
      <c:valAx>
        <c:axId val="5927887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78833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6626137357830268"/>
                  <c:y val="-1.392105398589882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'JBT19'!$C$2:$C$18</c:f>
              <c:numCache>
                <c:formatCode>General</c:formatCode>
                <c:ptCount val="17"/>
                <c:pt idx="0">
                  <c:v>360400</c:v>
                </c:pt>
                <c:pt idx="1">
                  <c:v>108800</c:v>
                </c:pt>
                <c:pt idx="2">
                  <c:v>100000</c:v>
                </c:pt>
                <c:pt idx="3">
                  <c:v>198400</c:v>
                </c:pt>
                <c:pt idx="4">
                  <c:v>194000</c:v>
                </c:pt>
                <c:pt idx="5">
                  <c:v>51300</c:v>
                </c:pt>
                <c:pt idx="6">
                  <c:v>30100</c:v>
                </c:pt>
                <c:pt idx="7">
                  <c:v>10500</c:v>
                </c:pt>
                <c:pt idx="8">
                  <c:v>3100</c:v>
                </c:pt>
                <c:pt idx="9">
                  <c:v>18400</c:v>
                </c:pt>
                <c:pt idx="10">
                  <c:v>20300</c:v>
                </c:pt>
                <c:pt idx="11">
                  <c:v>39900</c:v>
                </c:pt>
                <c:pt idx="12">
                  <c:v>295400</c:v>
                </c:pt>
                <c:pt idx="13">
                  <c:v>106800</c:v>
                </c:pt>
                <c:pt idx="14">
                  <c:v>293900</c:v>
                </c:pt>
                <c:pt idx="15">
                  <c:v>144400</c:v>
                </c:pt>
                <c:pt idx="16">
                  <c:v>65400</c:v>
                </c:pt>
              </c:numCache>
            </c:numRef>
          </c:xVal>
          <c:yVal>
            <c:numRef>
              <c:f>'JBT19'!$G$2:$G$18</c:f>
              <c:numCache>
                <c:formatCode>General</c:formatCode>
                <c:ptCount val="17"/>
                <c:pt idx="0">
                  <c:v>2.01824E-2</c:v>
                </c:pt>
                <c:pt idx="1">
                  <c:v>4.3628800000000004E-3</c:v>
                </c:pt>
                <c:pt idx="2">
                  <c:v>2.0899999999999998E-3</c:v>
                </c:pt>
                <c:pt idx="3">
                  <c:v>1.095168E-2</c:v>
                </c:pt>
                <c:pt idx="4">
                  <c:v>3.4144000000000002E-3</c:v>
                </c:pt>
                <c:pt idx="5">
                  <c:v>2.8009799999999998E-3</c:v>
                </c:pt>
                <c:pt idx="6">
                  <c:v>6.5618000000000002E-4</c:v>
                </c:pt>
                <c:pt idx="7">
                  <c:v>8.5154999999999996E-4</c:v>
                </c:pt>
                <c:pt idx="8">
                  <c:v>4.6809999999999999E-4</c:v>
                </c:pt>
                <c:pt idx="9">
                  <c:v>2.9992E-3</c:v>
                </c:pt>
                <c:pt idx="10">
                  <c:v>1.05966E-3</c:v>
                </c:pt>
                <c:pt idx="11">
                  <c:v>2.06682E-3</c:v>
                </c:pt>
                <c:pt idx="12">
                  <c:v>1.222956E-2</c:v>
                </c:pt>
                <c:pt idx="13">
                  <c:v>4.83804E-3</c:v>
                </c:pt>
                <c:pt idx="14">
                  <c:v>2.330627E-2</c:v>
                </c:pt>
                <c:pt idx="15">
                  <c:v>4.23092E-3</c:v>
                </c:pt>
                <c:pt idx="16">
                  <c:v>2.1451199999999999E-3</c:v>
                </c:pt>
              </c:numCache>
            </c:numRef>
          </c:yVal>
          <c:smooth val="0"/>
        </c:ser>
        <c:dLbls>
          <c:showLegendKey val="0"/>
          <c:showVal val="0"/>
          <c:showCatName val="0"/>
          <c:showSerName val="0"/>
          <c:showPercent val="0"/>
          <c:showBubbleSize val="0"/>
        </c:dLbls>
        <c:axId val="687719792"/>
        <c:axId val="687720184"/>
      </c:scatterChart>
      <c:valAx>
        <c:axId val="6877197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0184"/>
        <c:crosses val="autoZero"/>
        <c:crossBetween val="midCat"/>
      </c:valAx>
      <c:valAx>
        <c:axId val="6877201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197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5301773461461566"/>
                  <c:y val="5.035569105691056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'JBT19'!$C$2:$C$18</c:f>
              <c:numCache>
                <c:formatCode>General</c:formatCode>
                <c:ptCount val="17"/>
                <c:pt idx="0">
                  <c:v>360400</c:v>
                </c:pt>
                <c:pt idx="1">
                  <c:v>108800</c:v>
                </c:pt>
                <c:pt idx="2">
                  <c:v>100000</c:v>
                </c:pt>
                <c:pt idx="3">
                  <c:v>198400</c:v>
                </c:pt>
                <c:pt idx="4">
                  <c:v>194000</c:v>
                </c:pt>
                <c:pt idx="5">
                  <c:v>51300</c:v>
                </c:pt>
                <c:pt idx="6">
                  <c:v>30100</c:v>
                </c:pt>
                <c:pt idx="7">
                  <c:v>10500</c:v>
                </c:pt>
                <c:pt idx="8">
                  <c:v>3100</c:v>
                </c:pt>
                <c:pt idx="9">
                  <c:v>18400</c:v>
                </c:pt>
                <c:pt idx="10">
                  <c:v>20300</c:v>
                </c:pt>
                <c:pt idx="11">
                  <c:v>39900</c:v>
                </c:pt>
                <c:pt idx="12">
                  <c:v>295400</c:v>
                </c:pt>
                <c:pt idx="13">
                  <c:v>106800</c:v>
                </c:pt>
                <c:pt idx="14">
                  <c:v>293900</c:v>
                </c:pt>
                <c:pt idx="15">
                  <c:v>144400</c:v>
                </c:pt>
                <c:pt idx="16">
                  <c:v>65400</c:v>
                </c:pt>
              </c:numCache>
            </c:numRef>
          </c:xVal>
          <c:yVal>
            <c:numRef>
              <c:f>'JBT19'!$H$2:$H$18</c:f>
              <c:numCache>
                <c:formatCode>General</c:formatCode>
                <c:ptCount val="17"/>
                <c:pt idx="0">
                  <c:v>7.6044399999999996E-3</c:v>
                </c:pt>
                <c:pt idx="1">
                  <c:v>3.1660799999999999E-3</c:v>
                </c:pt>
                <c:pt idx="2">
                  <c:v>1.2199999999999999E-3</c:v>
                </c:pt>
                <c:pt idx="3">
                  <c:v>4.0473599999999998E-3</c:v>
                </c:pt>
                <c:pt idx="4">
                  <c:v>2.4443999999999998E-3</c:v>
                </c:pt>
                <c:pt idx="5">
                  <c:v>1.1337299999999999E-3</c:v>
                </c:pt>
                <c:pt idx="6">
                  <c:v>3.1304E-4</c:v>
                </c:pt>
                <c:pt idx="7">
                  <c:v>2.4254999999999999E-4</c:v>
                </c:pt>
                <c:pt idx="9">
                  <c:v>1.35608E-3</c:v>
                </c:pt>
                <c:pt idx="10">
                  <c:v>7.9982000000000002E-4</c:v>
                </c:pt>
                <c:pt idx="11">
                  <c:v>1.6319100000000001E-3</c:v>
                </c:pt>
                <c:pt idx="12">
                  <c:v>9.2460200000000006E-3</c:v>
                </c:pt>
                <c:pt idx="13">
                  <c:v>2.3282400000000001E-3</c:v>
                </c:pt>
                <c:pt idx="14">
                  <c:v>2.1807380000000001E-2</c:v>
                </c:pt>
                <c:pt idx="15">
                  <c:v>3.9709999999999997E-3</c:v>
                </c:pt>
                <c:pt idx="16">
                  <c:v>1.22298E-3</c:v>
                </c:pt>
              </c:numCache>
            </c:numRef>
          </c:yVal>
          <c:smooth val="0"/>
        </c:ser>
        <c:dLbls>
          <c:showLegendKey val="0"/>
          <c:showVal val="0"/>
          <c:showCatName val="0"/>
          <c:showSerName val="0"/>
          <c:showPercent val="0"/>
          <c:showBubbleSize val="0"/>
        </c:dLbls>
        <c:axId val="687720968"/>
        <c:axId val="687721360"/>
      </c:scatterChart>
      <c:valAx>
        <c:axId val="6877209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1360"/>
        <c:crosses val="autoZero"/>
        <c:crossBetween val="midCat"/>
      </c:valAx>
      <c:valAx>
        <c:axId val="6877213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096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2478008302274009"/>
                  <c:y val="-9.4379293013905172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'JBT19'!$C$2:$C$18</c:f>
              <c:numCache>
                <c:formatCode>General</c:formatCode>
                <c:ptCount val="17"/>
                <c:pt idx="0">
                  <c:v>360400</c:v>
                </c:pt>
                <c:pt idx="1">
                  <c:v>108800</c:v>
                </c:pt>
                <c:pt idx="2">
                  <c:v>100000</c:v>
                </c:pt>
                <c:pt idx="3">
                  <c:v>198400</c:v>
                </c:pt>
                <c:pt idx="4">
                  <c:v>194000</c:v>
                </c:pt>
                <c:pt idx="5">
                  <c:v>51300</c:v>
                </c:pt>
                <c:pt idx="6">
                  <c:v>30100</c:v>
                </c:pt>
                <c:pt idx="7">
                  <c:v>10500</c:v>
                </c:pt>
                <c:pt idx="8">
                  <c:v>3100</c:v>
                </c:pt>
                <c:pt idx="9">
                  <c:v>18400</c:v>
                </c:pt>
                <c:pt idx="10">
                  <c:v>20300</c:v>
                </c:pt>
                <c:pt idx="11">
                  <c:v>39900</c:v>
                </c:pt>
                <c:pt idx="12">
                  <c:v>295400</c:v>
                </c:pt>
                <c:pt idx="13">
                  <c:v>106800</c:v>
                </c:pt>
                <c:pt idx="14">
                  <c:v>293900</c:v>
                </c:pt>
                <c:pt idx="15">
                  <c:v>144400</c:v>
                </c:pt>
                <c:pt idx="16">
                  <c:v>65400</c:v>
                </c:pt>
              </c:numCache>
            </c:numRef>
          </c:xVal>
          <c:yVal>
            <c:numRef>
              <c:f>'JBT19'!$I$2:$I$18</c:f>
              <c:numCache>
                <c:formatCode>General</c:formatCode>
                <c:ptCount val="17"/>
                <c:pt idx="0">
                  <c:v>0.39644000000000001</c:v>
                </c:pt>
                <c:pt idx="1">
                  <c:v>8.2687999999999998E-2</c:v>
                </c:pt>
                <c:pt idx="2">
                  <c:v>6.0999999999999999E-2</c:v>
                </c:pt>
                <c:pt idx="3">
                  <c:v>0.162688</c:v>
                </c:pt>
                <c:pt idx="4">
                  <c:v>8.7300000000000003E-2</c:v>
                </c:pt>
                <c:pt idx="5">
                  <c:v>5.1299999999999998E-2</c:v>
                </c:pt>
                <c:pt idx="6">
                  <c:v>1.4749E-2</c:v>
                </c:pt>
                <c:pt idx="7">
                  <c:v>9.5549999999999993E-3</c:v>
                </c:pt>
                <c:pt idx="8">
                  <c:v>3.8440000000000002E-3</c:v>
                </c:pt>
                <c:pt idx="9">
                  <c:v>3.7536E-2</c:v>
                </c:pt>
                <c:pt idx="10">
                  <c:v>1.7864000000000001E-2</c:v>
                </c:pt>
                <c:pt idx="11">
                  <c:v>3.7505999999999998E-2</c:v>
                </c:pt>
                <c:pt idx="12">
                  <c:v>0.209734</c:v>
                </c:pt>
                <c:pt idx="13">
                  <c:v>6.0876E-2</c:v>
                </c:pt>
                <c:pt idx="14">
                  <c:v>0.30859500000000001</c:v>
                </c:pt>
                <c:pt idx="15">
                  <c:v>0.10541200000000001</c:v>
                </c:pt>
                <c:pt idx="16">
                  <c:v>3.7932E-2</c:v>
                </c:pt>
              </c:numCache>
            </c:numRef>
          </c:yVal>
          <c:smooth val="0"/>
        </c:ser>
        <c:dLbls>
          <c:showLegendKey val="0"/>
          <c:showVal val="0"/>
          <c:showCatName val="0"/>
          <c:showSerName val="0"/>
          <c:showPercent val="0"/>
          <c:showBubbleSize val="0"/>
        </c:dLbls>
        <c:axId val="687722144"/>
        <c:axId val="687722536"/>
      </c:scatterChart>
      <c:valAx>
        <c:axId val="6877221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2536"/>
        <c:crosses val="autoZero"/>
        <c:crossBetween val="midCat"/>
      </c:valAx>
      <c:valAx>
        <c:axId val="6877225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21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JBT19_SameDuration!$G$2:$G$14</c:f>
              <c:numCache>
                <c:formatCode>General</c:formatCode>
                <c:ptCount val="13"/>
                <c:pt idx="1">
                  <c:v>194000</c:v>
                </c:pt>
                <c:pt idx="2">
                  <c:v>51300</c:v>
                </c:pt>
                <c:pt idx="3">
                  <c:v>30100</c:v>
                </c:pt>
                <c:pt idx="5">
                  <c:v>10500</c:v>
                </c:pt>
                <c:pt idx="6">
                  <c:v>3100</c:v>
                </c:pt>
                <c:pt idx="9">
                  <c:v>106800</c:v>
                </c:pt>
                <c:pt idx="10">
                  <c:v>293900</c:v>
                </c:pt>
                <c:pt idx="11">
                  <c:v>144400</c:v>
                </c:pt>
                <c:pt idx="12">
                  <c:v>65400</c:v>
                </c:pt>
              </c:numCache>
            </c:numRef>
          </c:xVal>
          <c:yVal>
            <c:numRef>
              <c:f>JBT19_SameDuration!$H$2:$H$14</c:f>
              <c:numCache>
                <c:formatCode>General</c:formatCode>
                <c:ptCount val="13"/>
                <c:pt idx="1">
                  <c:v>3.4144000000000002E-3</c:v>
                </c:pt>
                <c:pt idx="2">
                  <c:v>2.8009799999999998E-3</c:v>
                </c:pt>
                <c:pt idx="3">
                  <c:v>6.5618000000000002E-4</c:v>
                </c:pt>
                <c:pt idx="5">
                  <c:v>8.5154999999999996E-4</c:v>
                </c:pt>
                <c:pt idx="6">
                  <c:v>4.6809999999999999E-4</c:v>
                </c:pt>
                <c:pt idx="9">
                  <c:v>4.83804E-3</c:v>
                </c:pt>
                <c:pt idx="10">
                  <c:v>2.330627E-2</c:v>
                </c:pt>
                <c:pt idx="11">
                  <c:v>4.23092E-3</c:v>
                </c:pt>
                <c:pt idx="12">
                  <c:v>2.1451199999999999E-3</c:v>
                </c:pt>
              </c:numCache>
            </c:numRef>
          </c:yVal>
          <c:smooth val="0"/>
        </c:ser>
        <c:dLbls>
          <c:showLegendKey val="0"/>
          <c:showVal val="0"/>
          <c:showCatName val="0"/>
          <c:showSerName val="0"/>
          <c:showPercent val="0"/>
          <c:showBubbleSize val="0"/>
        </c:dLbls>
        <c:axId val="687723320"/>
        <c:axId val="687723712"/>
      </c:scatterChart>
      <c:valAx>
        <c:axId val="6877233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3712"/>
        <c:crosses val="autoZero"/>
        <c:crossBetween val="midCat"/>
      </c:valAx>
      <c:valAx>
        <c:axId val="6877237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332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JBT02_SameDuration!$G$2:$G$14</c:f>
              <c:numCache>
                <c:formatCode>General</c:formatCode>
                <c:ptCount val="13"/>
                <c:pt idx="0">
                  <c:v>167500</c:v>
                </c:pt>
                <c:pt idx="1">
                  <c:v>35200</c:v>
                </c:pt>
                <c:pt idx="3">
                  <c:v>32300</c:v>
                </c:pt>
                <c:pt idx="4">
                  <c:v>32100</c:v>
                </c:pt>
                <c:pt idx="5">
                  <c:v>18400</c:v>
                </c:pt>
                <c:pt idx="6">
                  <c:v>33000</c:v>
                </c:pt>
                <c:pt idx="9">
                  <c:v>106900</c:v>
                </c:pt>
                <c:pt idx="10">
                  <c:v>50500</c:v>
                </c:pt>
                <c:pt idx="11">
                  <c:v>10200</c:v>
                </c:pt>
                <c:pt idx="12">
                  <c:v>1300</c:v>
                </c:pt>
              </c:numCache>
            </c:numRef>
          </c:xVal>
          <c:yVal>
            <c:numRef>
              <c:f>JBT02_SameDuration!$I$2:$I$14</c:f>
              <c:numCache>
                <c:formatCode>General</c:formatCode>
                <c:ptCount val="13"/>
                <c:pt idx="0">
                  <c:v>2.1797199999999999E-2</c:v>
                </c:pt>
                <c:pt idx="1">
                  <c:v>1.3235199999999999E-3</c:v>
                </c:pt>
                <c:pt idx="3">
                  <c:v>9.7868999999999994E-4</c:v>
                </c:pt>
                <c:pt idx="4">
                  <c:v>9.0521999999999998E-4</c:v>
                </c:pt>
                <c:pt idx="5">
                  <c:v>5.2439999999999995E-4</c:v>
                </c:pt>
                <c:pt idx="6">
                  <c:v>1.3959E-3</c:v>
                </c:pt>
                <c:pt idx="9">
                  <c:v>1.63114E-2</c:v>
                </c:pt>
                <c:pt idx="10">
                  <c:v>5.9589999999999999E-3</c:v>
                </c:pt>
                <c:pt idx="11">
                  <c:v>7.1807999999999996E-4</c:v>
                </c:pt>
                <c:pt idx="12">
                  <c:v>5.1999999999999997E-5</c:v>
                </c:pt>
              </c:numCache>
            </c:numRef>
          </c:yVal>
          <c:smooth val="0"/>
        </c:ser>
        <c:dLbls>
          <c:showLegendKey val="0"/>
          <c:showVal val="0"/>
          <c:showCatName val="0"/>
          <c:showSerName val="0"/>
          <c:showPercent val="0"/>
          <c:showBubbleSize val="0"/>
        </c:dLbls>
        <c:axId val="709786304"/>
        <c:axId val="709786696"/>
      </c:scatterChart>
      <c:valAx>
        <c:axId val="7097863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786696"/>
        <c:crosses val="autoZero"/>
        <c:crossBetween val="midCat"/>
      </c:valAx>
      <c:valAx>
        <c:axId val="7097866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7863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JBT19_SameDuration!$G$2:$G$14</c:f>
              <c:numCache>
                <c:formatCode>General</c:formatCode>
                <c:ptCount val="13"/>
                <c:pt idx="1">
                  <c:v>194000</c:v>
                </c:pt>
                <c:pt idx="2">
                  <c:v>51300</c:v>
                </c:pt>
                <c:pt idx="3">
                  <c:v>30100</c:v>
                </c:pt>
                <c:pt idx="5">
                  <c:v>10500</c:v>
                </c:pt>
                <c:pt idx="6">
                  <c:v>3100</c:v>
                </c:pt>
                <c:pt idx="9">
                  <c:v>106800</c:v>
                </c:pt>
                <c:pt idx="10">
                  <c:v>293900</c:v>
                </c:pt>
                <c:pt idx="11">
                  <c:v>144400</c:v>
                </c:pt>
                <c:pt idx="12">
                  <c:v>65400</c:v>
                </c:pt>
              </c:numCache>
            </c:numRef>
          </c:xVal>
          <c:yVal>
            <c:numRef>
              <c:f>JBT19_SameDuration!$I$2:$I$14</c:f>
              <c:numCache>
                <c:formatCode>General</c:formatCode>
                <c:ptCount val="13"/>
                <c:pt idx="1">
                  <c:v>2.4443999999999998E-3</c:v>
                </c:pt>
                <c:pt idx="2">
                  <c:v>1.1337299999999999E-3</c:v>
                </c:pt>
                <c:pt idx="3">
                  <c:v>3.1304E-4</c:v>
                </c:pt>
                <c:pt idx="5">
                  <c:v>2.4254999999999999E-4</c:v>
                </c:pt>
                <c:pt idx="9">
                  <c:v>2.3282400000000001E-3</c:v>
                </c:pt>
                <c:pt idx="10">
                  <c:v>2.1807380000000001E-2</c:v>
                </c:pt>
                <c:pt idx="11">
                  <c:v>3.9709999999999997E-3</c:v>
                </c:pt>
                <c:pt idx="12">
                  <c:v>1.22298E-3</c:v>
                </c:pt>
              </c:numCache>
            </c:numRef>
          </c:yVal>
          <c:smooth val="0"/>
        </c:ser>
        <c:dLbls>
          <c:showLegendKey val="0"/>
          <c:showVal val="0"/>
          <c:showCatName val="0"/>
          <c:showSerName val="0"/>
          <c:showPercent val="0"/>
          <c:showBubbleSize val="0"/>
        </c:dLbls>
        <c:axId val="687724496"/>
        <c:axId val="687724888"/>
      </c:scatterChart>
      <c:valAx>
        <c:axId val="6877244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4888"/>
        <c:crosses val="autoZero"/>
        <c:crossBetween val="midCat"/>
      </c:valAx>
      <c:valAx>
        <c:axId val="6877248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449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JBT19_SameDuration!$G$2:$G$14</c:f>
              <c:numCache>
                <c:formatCode>General</c:formatCode>
                <c:ptCount val="13"/>
                <c:pt idx="1">
                  <c:v>194000</c:v>
                </c:pt>
                <c:pt idx="2">
                  <c:v>51300</c:v>
                </c:pt>
                <c:pt idx="3">
                  <c:v>30100</c:v>
                </c:pt>
                <c:pt idx="5">
                  <c:v>10500</c:v>
                </c:pt>
                <c:pt idx="6">
                  <c:v>3100</c:v>
                </c:pt>
                <c:pt idx="9">
                  <c:v>106800</c:v>
                </c:pt>
                <c:pt idx="10">
                  <c:v>293900</c:v>
                </c:pt>
                <c:pt idx="11">
                  <c:v>144400</c:v>
                </c:pt>
                <c:pt idx="12">
                  <c:v>65400</c:v>
                </c:pt>
              </c:numCache>
            </c:numRef>
          </c:xVal>
          <c:yVal>
            <c:numRef>
              <c:f>JBT19_SameDuration!$J$2:$J$14</c:f>
              <c:numCache>
                <c:formatCode>General</c:formatCode>
                <c:ptCount val="13"/>
                <c:pt idx="1">
                  <c:v>8.7300000000000003E-2</c:v>
                </c:pt>
                <c:pt idx="2">
                  <c:v>5.1299999999999998E-2</c:v>
                </c:pt>
                <c:pt idx="3">
                  <c:v>1.4749E-2</c:v>
                </c:pt>
                <c:pt idx="5">
                  <c:v>9.5549999999999993E-3</c:v>
                </c:pt>
                <c:pt idx="6">
                  <c:v>3.8440000000000002E-3</c:v>
                </c:pt>
                <c:pt idx="9">
                  <c:v>6.0876E-2</c:v>
                </c:pt>
                <c:pt idx="10">
                  <c:v>0.30859500000000001</c:v>
                </c:pt>
                <c:pt idx="11">
                  <c:v>0.10541200000000001</c:v>
                </c:pt>
                <c:pt idx="12">
                  <c:v>3.7932E-2</c:v>
                </c:pt>
              </c:numCache>
            </c:numRef>
          </c:yVal>
          <c:smooth val="0"/>
        </c:ser>
        <c:dLbls>
          <c:showLegendKey val="0"/>
          <c:showVal val="0"/>
          <c:showCatName val="0"/>
          <c:showSerName val="0"/>
          <c:showPercent val="0"/>
          <c:showBubbleSize val="0"/>
        </c:dLbls>
        <c:axId val="687725672"/>
        <c:axId val="687726064"/>
      </c:scatterChart>
      <c:valAx>
        <c:axId val="6877256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6064"/>
        <c:crosses val="autoZero"/>
        <c:crossBetween val="midCat"/>
      </c:valAx>
      <c:valAx>
        <c:axId val="6877260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56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JBT19_SameDuration!$G$2:$G$14</c:f>
              <c:numCache>
                <c:formatCode>General</c:formatCode>
                <c:ptCount val="13"/>
                <c:pt idx="1">
                  <c:v>194000</c:v>
                </c:pt>
                <c:pt idx="2">
                  <c:v>51300</c:v>
                </c:pt>
                <c:pt idx="3">
                  <c:v>30100</c:v>
                </c:pt>
                <c:pt idx="5">
                  <c:v>10500</c:v>
                </c:pt>
                <c:pt idx="6">
                  <c:v>3100</c:v>
                </c:pt>
                <c:pt idx="9">
                  <c:v>106800</c:v>
                </c:pt>
                <c:pt idx="10">
                  <c:v>293900</c:v>
                </c:pt>
                <c:pt idx="11">
                  <c:v>144400</c:v>
                </c:pt>
                <c:pt idx="12">
                  <c:v>65400</c:v>
                </c:pt>
              </c:numCache>
            </c:numRef>
          </c:xVal>
          <c:yVal>
            <c:numRef>
              <c:f>JBT19_SameDuration!$H$2:$H$14</c:f>
              <c:numCache>
                <c:formatCode>General</c:formatCode>
                <c:ptCount val="13"/>
                <c:pt idx="1">
                  <c:v>3.4144000000000002E-3</c:v>
                </c:pt>
                <c:pt idx="2">
                  <c:v>2.8009799999999998E-3</c:v>
                </c:pt>
                <c:pt idx="3">
                  <c:v>6.5618000000000002E-4</c:v>
                </c:pt>
                <c:pt idx="5">
                  <c:v>8.5154999999999996E-4</c:v>
                </c:pt>
                <c:pt idx="6">
                  <c:v>4.6809999999999999E-4</c:v>
                </c:pt>
                <c:pt idx="9">
                  <c:v>4.83804E-3</c:v>
                </c:pt>
                <c:pt idx="10">
                  <c:v>2.330627E-2</c:v>
                </c:pt>
                <c:pt idx="11">
                  <c:v>4.23092E-3</c:v>
                </c:pt>
                <c:pt idx="12">
                  <c:v>2.1451199999999999E-3</c:v>
                </c:pt>
              </c:numCache>
            </c:numRef>
          </c:yVal>
          <c:smooth val="0"/>
        </c:ser>
        <c:dLbls>
          <c:showLegendKey val="0"/>
          <c:showVal val="0"/>
          <c:showCatName val="0"/>
          <c:showSerName val="0"/>
          <c:showPercent val="0"/>
          <c:showBubbleSize val="0"/>
        </c:dLbls>
        <c:axId val="687726848"/>
        <c:axId val="687727240"/>
      </c:scatterChart>
      <c:valAx>
        <c:axId val="6877268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7240"/>
        <c:crosses val="autoZero"/>
        <c:crossBetween val="midCat"/>
      </c:valAx>
      <c:valAx>
        <c:axId val="6877272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772684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JBT19_SameDuration!$G$2:$G$14</c:f>
              <c:numCache>
                <c:formatCode>General</c:formatCode>
                <c:ptCount val="13"/>
                <c:pt idx="1">
                  <c:v>194000</c:v>
                </c:pt>
                <c:pt idx="2">
                  <c:v>51300</c:v>
                </c:pt>
                <c:pt idx="3">
                  <c:v>30100</c:v>
                </c:pt>
                <c:pt idx="5">
                  <c:v>10500</c:v>
                </c:pt>
                <c:pt idx="6">
                  <c:v>3100</c:v>
                </c:pt>
                <c:pt idx="9">
                  <c:v>106800</c:v>
                </c:pt>
                <c:pt idx="10">
                  <c:v>293900</c:v>
                </c:pt>
                <c:pt idx="11">
                  <c:v>144400</c:v>
                </c:pt>
                <c:pt idx="12">
                  <c:v>65400</c:v>
                </c:pt>
              </c:numCache>
            </c:numRef>
          </c:xVal>
          <c:yVal>
            <c:numRef>
              <c:f>JBT19_SameDuration!$J$2:$J$14</c:f>
              <c:numCache>
                <c:formatCode>General</c:formatCode>
                <c:ptCount val="13"/>
                <c:pt idx="1">
                  <c:v>8.7300000000000003E-2</c:v>
                </c:pt>
                <c:pt idx="2">
                  <c:v>5.1299999999999998E-2</c:v>
                </c:pt>
                <c:pt idx="3">
                  <c:v>1.4749E-2</c:v>
                </c:pt>
                <c:pt idx="5">
                  <c:v>9.5549999999999993E-3</c:v>
                </c:pt>
                <c:pt idx="6">
                  <c:v>3.8440000000000002E-3</c:v>
                </c:pt>
                <c:pt idx="9">
                  <c:v>6.0876E-2</c:v>
                </c:pt>
                <c:pt idx="10">
                  <c:v>0.30859500000000001</c:v>
                </c:pt>
                <c:pt idx="11">
                  <c:v>0.10541200000000001</c:v>
                </c:pt>
                <c:pt idx="12">
                  <c:v>3.7932E-2</c:v>
                </c:pt>
              </c:numCache>
            </c:numRef>
          </c:yVal>
          <c:smooth val="0"/>
        </c:ser>
        <c:dLbls>
          <c:showLegendKey val="0"/>
          <c:showVal val="0"/>
          <c:showCatName val="0"/>
          <c:showSerName val="0"/>
          <c:showPercent val="0"/>
          <c:showBubbleSize val="0"/>
        </c:dLbls>
        <c:axId val="715757504"/>
        <c:axId val="715757896"/>
      </c:scatterChart>
      <c:valAx>
        <c:axId val="7157575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57896"/>
        <c:crosses val="autoZero"/>
        <c:crossBetween val="midCat"/>
      </c:valAx>
      <c:valAx>
        <c:axId val="7157578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575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JBT19_SameDuration!$I$1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JBT19_SameDuration!$G$2:$G$14</c:f>
              <c:numCache>
                <c:formatCode>General</c:formatCode>
                <c:ptCount val="13"/>
                <c:pt idx="1">
                  <c:v>194000</c:v>
                </c:pt>
                <c:pt idx="2">
                  <c:v>51300</c:v>
                </c:pt>
                <c:pt idx="3">
                  <c:v>30100</c:v>
                </c:pt>
                <c:pt idx="5">
                  <c:v>10500</c:v>
                </c:pt>
                <c:pt idx="6">
                  <c:v>3100</c:v>
                </c:pt>
                <c:pt idx="9">
                  <c:v>106800</c:v>
                </c:pt>
                <c:pt idx="10">
                  <c:v>293900</c:v>
                </c:pt>
                <c:pt idx="11">
                  <c:v>144400</c:v>
                </c:pt>
                <c:pt idx="12">
                  <c:v>65400</c:v>
                </c:pt>
              </c:numCache>
            </c:numRef>
          </c:xVal>
          <c:yVal>
            <c:numRef>
              <c:f>JBT19_SameDuration!$I$2:$I$14</c:f>
              <c:numCache>
                <c:formatCode>General</c:formatCode>
                <c:ptCount val="13"/>
                <c:pt idx="1">
                  <c:v>2.4443999999999998E-3</c:v>
                </c:pt>
                <c:pt idx="2">
                  <c:v>1.1337299999999999E-3</c:v>
                </c:pt>
                <c:pt idx="3">
                  <c:v>3.1304E-4</c:v>
                </c:pt>
                <c:pt idx="5">
                  <c:v>2.4254999999999999E-4</c:v>
                </c:pt>
                <c:pt idx="9">
                  <c:v>2.3282400000000001E-3</c:v>
                </c:pt>
                <c:pt idx="10">
                  <c:v>2.1807380000000001E-2</c:v>
                </c:pt>
                <c:pt idx="11">
                  <c:v>3.9709999999999997E-3</c:v>
                </c:pt>
                <c:pt idx="12">
                  <c:v>1.22298E-3</c:v>
                </c:pt>
              </c:numCache>
            </c:numRef>
          </c:yVal>
          <c:smooth val="0"/>
        </c:ser>
        <c:dLbls>
          <c:showLegendKey val="0"/>
          <c:showVal val="0"/>
          <c:showCatName val="0"/>
          <c:showSerName val="0"/>
          <c:showPercent val="0"/>
          <c:showBubbleSize val="0"/>
        </c:dLbls>
        <c:axId val="715758680"/>
        <c:axId val="715759072"/>
      </c:scatterChart>
      <c:valAx>
        <c:axId val="7157586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59072"/>
        <c:crosses val="autoZero"/>
        <c:crossBetween val="midCat"/>
      </c:valAx>
      <c:valAx>
        <c:axId val="7157590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586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2816294838145232"/>
                  <c:y val="-2.280001458151064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'JBT01'!$C$2:$C$19</c:f>
              <c:numCache>
                <c:formatCode>General</c:formatCode>
                <c:ptCount val="18"/>
                <c:pt idx="0">
                  <c:v>1170100</c:v>
                </c:pt>
                <c:pt idx="1">
                  <c:v>765200</c:v>
                </c:pt>
                <c:pt idx="2">
                  <c:v>1108400</c:v>
                </c:pt>
                <c:pt idx="3">
                  <c:v>626200</c:v>
                </c:pt>
                <c:pt idx="4">
                  <c:v>472000</c:v>
                </c:pt>
                <c:pt idx="5">
                  <c:v>535300</c:v>
                </c:pt>
                <c:pt idx="6">
                  <c:v>370600</c:v>
                </c:pt>
                <c:pt idx="7">
                  <c:v>313600</c:v>
                </c:pt>
                <c:pt idx="8">
                  <c:v>397900</c:v>
                </c:pt>
                <c:pt idx="9">
                  <c:v>755800</c:v>
                </c:pt>
                <c:pt idx="10">
                  <c:v>750200</c:v>
                </c:pt>
                <c:pt idx="11">
                  <c:v>526500</c:v>
                </c:pt>
                <c:pt idx="12">
                  <c:v>746000</c:v>
                </c:pt>
                <c:pt idx="13">
                  <c:v>983400</c:v>
                </c:pt>
                <c:pt idx="14">
                  <c:v>823700</c:v>
                </c:pt>
                <c:pt idx="15">
                  <c:v>861100</c:v>
                </c:pt>
                <c:pt idx="16">
                  <c:v>273500</c:v>
                </c:pt>
                <c:pt idx="17">
                  <c:v>116200</c:v>
                </c:pt>
              </c:numCache>
            </c:numRef>
          </c:xVal>
          <c:yVal>
            <c:numRef>
              <c:f>'JBT01'!$G$2:$G$19</c:f>
              <c:numCache>
                <c:formatCode>General</c:formatCode>
                <c:ptCount val="18"/>
                <c:pt idx="0">
                  <c:v>0.38964330000000003</c:v>
                </c:pt>
                <c:pt idx="1">
                  <c:v>0.15916159999999999</c:v>
                </c:pt>
                <c:pt idx="2">
                  <c:v>0.26158239999999999</c:v>
                </c:pt>
                <c:pt idx="3">
                  <c:v>1.6719540000000001E-2</c:v>
                </c:pt>
                <c:pt idx="4">
                  <c:v>5.9943999999999997E-2</c:v>
                </c:pt>
                <c:pt idx="5">
                  <c:v>1.033129E-2</c:v>
                </c:pt>
                <c:pt idx="6">
                  <c:v>8.7090999999999991E-3</c:v>
                </c:pt>
                <c:pt idx="7">
                  <c:v>7.4950399999999997E-3</c:v>
                </c:pt>
                <c:pt idx="8">
                  <c:v>1.137994E-2</c:v>
                </c:pt>
                <c:pt idx="9">
                  <c:v>8.1626400000000002E-2</c:v>
                </c:pt>
                <c:pt idx="10">
                  <c:v>8.3272200000000005E-2</c:v>
                </c:pt>
                <c:pt idx="11">
                  <c:v>3.3590700000000001E-2</c:v>
                </c:pt>
                <c:pt idx="12">
                  <c:v>0.19097600000000001</c:v>
                </c:pt>
                <c:pt idx="13">
                  <c:v>9.3029639999999997E-2</c:v>
                </c:pt>
                <c:pt idx="14">
                  <c:v>0.18368509999999999</c:v>
                </c:pt>
                <c:pt idx="15">
                  <c:v>8.4387799999999999E-2</c:v>
                </c:pt>
                <c:pt idx="16">
                  <c:v>8.6426000000000003E-3</c:v>
                </c:pt>
                <c:pt idx="17">
                  <c:v>2.7655599999999998E-3</c:v>
                </c:pt>
              </c:numCache>
            </c:numRef>
          </c:yVal>
          <c:smooth val="0"/>
        </c:ser>
        <c:dLbls>
          <c:showLegendKey val="0"/>
          <c:showVal val="0"/>
          <c:showCatName val="0"/>
          <c:showSerName val="0"/>
          <c:showPercent val="0"/>
          <c:showBubbleSize val="0"/>
        </c:dLbls>
        <c:axId val="715759856"/>
        <c:axId val="715760248"/>
      </c:scatterChart>
      <c:valAx>
        <c:axId val="7157598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60248"/>
        <c:crosses val="autoZero"/>
        <c:crossBetween val="midCat"/>
      </c:valAx>
      <c:valAx>
        <c:axId val="715760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598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2816294838145232"/>
                  <c:y val="-2.2800014581510646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'JBT01'!$C$2:$C$19</c:f>
              <c:numCache>
                <c:formatCode>General</c:formatCode>
                <c:ptCount val="18"/>
                <c:pt idx="0">
                  <c:v>1170100</c:v>
                </c:pt>
                <c:pt idx="1">
                  <c:v>765200</c:v>
                </c:pt>
                <c:pt idx="2">
                  <c:v>1108400</c:v>
                </c:pt>
                <c:pt idx="3">
                  <c:v>626200</c:v>
                </c:pt>
                <c:pt idx="4">
                  <c:v>472000</c:v>
                </c:pt>
                <c:pt idx="5">
                  <c:v>535300</c:v>
                </c:pt>
                <c:pt idx="6">
                  <c:v>370600</c:v>
                </c:pt>
                <c:pt idx="7">
                  <c:v>313600</c:v>
                </c:pt>
                <c:pt idx="8">
                  <c:v>397900</c:v>
                </c:pt>
                <c:pt idx="9">
                  <c:v>755800</c:v>
                </c:pt>
                <c:pt idx="10">
                  <c:v>750200</c:v>
                </c:pt>
                <c:pt idx="11">
                  <c:v>526500</c:v>
                </c:pt>
                <c:pt idx="12">
                  <c:v>746000</c:v>
                </c:pt>
                <c:pt idx="13">
                  <c:v>983400</c:v>
                </c:pt>
                <c:pt idx="14">
                  <c:v>823700</c:v>
                </c:pt>
                <c:pt idx="15">
                  <c:v>861100</c:v>
                </c:pt>
                <c:pt idx="16">
                  <c:v>273500</c:v>
                </c:pt>
                <c:pt idx="17">
                  <c:v>116200</c:v>
                </c:pt>
              </c:numCache>
            </c:numRef>
          </c:xVal>
          <c:yVal>
            <c:numRef>
              <c:f>'JBT01'!$H$2:$H$19</c:f>
              <c:numCache>
                <c:formatCode>General</c:formatCode>
                <c:ptCount val="18"/>
                <c:pt idx="0">
                  <c:v>9.5012120000000005E-2</c:v>
                </c:pt>
                <c:pt idx="1">
                  <c:v>3.4051400000000002E-2</c:v>
                </c:pt>
                <c:pt idx="2">
                  <c:v>4.5222720000000001E-2</c:v>
                </c:pt>
                <c:pt idx="3">
                  <c:v>9.6434799999999994E-3</c:v>
                </c:pt>
                <c:pt idx="4">
                  <c:v>1.26024E-2</c:v>
                </c:pt>
                <c:pt idx="5">
                  <c:v>6.9588999999999996E-3</c:v>
                </c:pt>
                <c:pt idx="6">
                  <c:v>2.8165600000000001E-3</c:v>
                </c:pt>
                <c:pt idx="7">
                  <c:v>4.3590399999999998E-3</c:v>
                </c:pt>
                <c:pt idx="8">
                  <c:v>6.40619E-3</c:v>
                </c:pt>
                <c:pt idx="9">
                  <c:v>4.8673519999999998E-2</c:v>
                </c:pt>
                <c:pt idx="10">
                  <c:v>5.4164440000000001E-2</c:v>
                </c:pt>
                <c:pt idx="11">
                  <c:v>2.321865E-2</c:v>
                </c:pt>
                <c:pt idx="12">
                  <c:v>5.8113400000000003E-2</c:v>
                </c:pt>
                <c:pt idx="13">
                  <c:v>4.5924779999999998E-2</c:v>
                </c:pt>
                <c:pt idx="14">
                  <c:v>8.7312200000000006E-2</c:v>
                </c:pt>
                <c:pt idx="15">
                  <c:v>4.0902250000000001E-2</c:v>
                </c:pt>
                <c:pt idx="16">
                  <c:v>5.9349499999999996E-3</c:v>
                </c:pt>
                <c:pt idx="17">
                  <c:v>2.4285800000000001E-3</c:v>
                </c:pt>
              </c:numCache>
            </c:numRef>
          </c:yVal>
          <c:smooth val="0"/>
        </c:ser>
        <c:dLbls>
          <c:showLegendKey val="0"/>
          <c:showVal val="0"/>
          <c:showCatName val="0"/>
          <c:showSerName val="0"/>
          <c:showPercent val="0"/>
          <c:showBubbleSize val="0"/>
        </c:dLbls>
        <c:axId val="715761032"/>
        <c:axId val="715761424"/>
      </c:scatterChart>
      <c:valAx>
        <c:axId val="7157610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61424"/>
        <c:crosses val="autoZero"/>
        <c:crossBetween val="midCat"/>
      </c:valAx>
      <c:valAx>
        <c:axId val="7157614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610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4.6357830271216101E-2"/>
                  <c:y val="-0.1651531058617672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'JBT01'!$C$2:$C$19</c:f>
              <c:numCache>
                <c:formatCode>General</c:formatCode>
                <c:ptCount val="18"/>
                <c:pt idx="0">
                  <c:v>1170100</c:v>
                </c:pt>
                <c:pt idx="1">
                  <c:v>765200</c:v>
                </c:pt>
                <c:pt idx="2">
                  <c:v>1108400</c:v>
                </c:pt>
                <c:pt idx="3">
                  <c:v>626200</c:v>
                </c:pt>
                <c:pt idx="4">
                  <c:v>472000</c:v>
                </c:pt>
                <c:pt idx="5">
                  <c:v>535300</c:v>
                </c:pt>
                <c:pt idx="6">
                  <c:v>370600</c:v>
                </c:pt>
                <c:pt idx="7">
                  <c:v>313600</c:v>
                </c:pt>
                <c:pt idx="8">
                  <c:v>397900</c:v>
                </c:pt>
                <c:pt idx="9">
                  <c:v>755800</c:v>
                </c:pt>
                <c:pt idx="10">
                  <c:v>750200</c:v>
                </c:pt>
                <c:pt idx="11">
                  <c:v>526500</c:v>
                </c:pt>
                <c:pt idx="12">
                  <c:v>746000</c:v>
                </c:pt>
                <c:pt idx="13">
                  <c:v>983400</c:v>
                </c:pt>
                <c:pt idx="14">
                  <c:v>823700</c:v>
                </c:pt>
                <c:pt idx="15">
                  <c:v>861100</c:v>
                </c:pt>
                <c:pt idx="16">
                  <c:v>273500</c:v>
                </c:pt>
                <c:pt idx="17">
                  <c:v>116200</c:v>
                </c:pt>
              </c:numCache>
            </c:numRef>
          </c:xVal>
          <c:yVal>
            <c:numRef>
              <c:f>'JBT01'!$I$2:$I$19</c:f>
              <c:numCache>
                <c:formatCode>General</c:formatCode>
                <c:ptCount val="18"/>
                <c:pt idx="0">
                  <c:v>6.587663</c:v>
                </c:pt>
                <c:pt idx="1">
                  <c:v>4.0479079999999996</c:v>
                </c:pt>
                <c:pt idx="2">
                  <c:v>5.7304279999999999</c:v>
                </c:pt>
                <c:pt idx="3">
                  <c:v>3.1059519999999998</c:v>
                </c:pt>
                <c:pt idx="4">
                  <c:v>2.4874399999999999</c:v>
                </c:pt>
                <c:pt idx="5">
                  <c:v>2.746089</c:v>
                </c:pt>
                <c:pt idx="6">
                  <c:v>1.971592</c:v>
                </c:pt>
                <c:pt idx="7">
                  <c:v>1.658944</c:v>
                </c:pt>
                <c:pt idx="8">
                  <c:v>2.578392</c:v>
                </c:pt>
                <c:pt idx="9">
                  <c:v>16.771201999999999</c:v>
                </c:pt>
                <c:pt idx="10">
                  <c:v>11.680614</c:v>
                </c:pt>
                <c:pt idx="11">
                  <c:v>4.4594550000000002</c:v>
                </c:pt>
                <c:pt idx="12">
                  <c:v>6.0053000000000001</c:v>
                </c:pt>
                <c:pt idx="13">
                  <c:v>6.1659179999999996</c:v>
                </c:pt>
                <c:pt idx="14">
                  <c:v>5.461131</c:v>
                </c:pt>
                <c:pt idx="15">
                  <c:v>4.5724410000000004</c:v>
                </c:pt>
                <c:pt idx="16">
                  <c:v>1.2034</c:v>
                </c:pt>
                <c:pt idx="17">
                  <c:v>0.42877799999999999</c:v>
                </c:pt>
              </c:numCache>
            </c:numRef>
          </c:yVal>
          <c:smooth val="0"/>
        </c:ser>
        <c:dLbls>
          <c:showLegendKey val="0"/>
          <c:showVal val="0"/>
          <c:showCatName val="0"/>
          <c:showSerName val="0"/>
          <c:showPercent val="0"/>
          <c:showBubbleSize val="0"/>
        </c:dLbls>
        <c:axId val="715762208"/>
        <c:axId val="715762600"/>
      </c:scatterChart>
      <c:valAx>
        <c:axId val="715762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62600"/>
        <c:crosses val="autoZero"/>
        <c:crossBetween val="midCat"/>
      </c:valAx>
      <c:valAx>
        <c:axId val="7157626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622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'JBT01'!$G$1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20093810148731409"/>
                  <c:y val="-0.1123931904345290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'JBT01'!$C$2:$C$19</c:f>
              <c:numCache>
                <c:formatCode>General</c:formatCode>
                <c:ptCount val="18"/>
                <c:pt idx="0">
                  <c:v>1170100</c:v>
                </c:pt>
                <c:pt idx="1">
                  <c:v>765200</c:v>
                </c:pt>
                <c:pt idx="2">
                  <c:v>1108400</c:v>
                </c:pt>
                <c:pt idx="3">
                  <c:v>626200</c:v>
                </c:pt>
                <c:pt idx="4">
                  <c:v>472000</c:v>
                </c:pt>
                <c:pt idx="5">
                  <c:v>535300</c:v>
                </c:pt>
                <c:pt idx="6">
                  <c:v>370600</c:v>
                </c:pt>
                <c:pt idx="7">
                  <c:v>313600</c:v>
                </c:pt>
                <c:pt idx="8">
                  <c:v>397900</c:v>
                </c:pt>
                <c:pt idx="9">
                  <c:v>755800</c:v>
                </c:pt>
                <c:pt idx="10">
                  <c:v>750200</c:v>
                </c:pt>
                <c:pt idx="11">
                  <c:v>526500</c:v>
                </c:pt>
                <c:pt idx="12">
                  <c:v>746000</c:v>
                </c:pt>
                <c:pt idx="13">
                  <c:v>983400</c:v>
                </c:pt>
                <c:pt idx="14">
                  <c:v>823700</c:v>
                </c:pt>
                <c:pt idx="15">
                  <c:v>861100</c:v>
                </c:pt>
                <c:pt idx="16">
                  <c:v>273500</c:v>
                </c:pt>
                <c:pt idx="17">
                  <c:v>116200</c:v>
                </c:pt>
              </c:numCache>
            </c:numRef>
          </c:xVal>
          <c:yVal>
            <c:numRef>
              <c:f>'JBT01'!$G$2:$G$19</c:f>
              <c:numCache>
                <c:formatCode>General</c:formatCode>
                <c:ptCount val="18"/>
                <c:pt idx="0">
                  <c:v>0.38964330000000003</c:v>
                </c:pt>
                <c:pt idx="1">
                  <c:v>0.15916159999999999</c:v>
                </c:pt>
                <c:pt idx="2">
                  <c:v>0.26158239999999999</c:v>
                </c:pt>
                <c:pt idx="3">
                  <c:v>1.6719540000000001E-2</c:v>
                </c:pt>
                <c:pt idx="4">
                  <c:v>5.9943999999999997E-2</c:v>
                </c:pt>
                <c:pt idx="5">
                  <c:v>1.033129E-2</c:v>
                </c:pt>
                <c:pt idx="6">
                  <c:v>8.7090999999999991E-3</c:v>
                </c:pt>
                <c:pt idx="7">
                  <c:v>7.4950399999999997E-3</c:v>
                </c:pt>
                <c:pt idx="8">
                  <c:v>1.137994E-2</c:v>
                </c:pt>
                <c:pt idx="9">
                  <c:v>8.1626400000000002E-2</c:v>
                </c:pt>
                <c:pt idx="10">
                  <c:v>8.3272200000000005E-2</c:v>
                </c:pt>
                <c:pt idx="11">
                  <c:v>3.3590700000000001E-2</c:v>
                </c:pt>
                <c:pt idx="12">
                  <c:v>0.19097600000000001</c:v>
                </c:pt>
                <c:pt idx="13">
                  <c:v>9.3029639999999997E-2</c:v>
                </c:pt>
                <c:pt idx="14">
                  <c:v>0.18368509999999999</c:v>
                </c:pt>
                <c:pt idx="15">
                  <c:v>8.4387799999999999E-2</c:v>
                </c:pt>
                <c:pt idx="16">
                  <c:v>8.6426000000000003E-3</c:v>
                </c:pt>
                <c:pt idx="17">
                  <c:v>2.7655599999999998E-3</c:v>
                </c:pt>
              </c:numCache>
            </c:numRef>
          </c:yVal>
          <c:smooth val="0"/>
        </c:ser>
        <c:dLbls>
          <c:showLegendKey val="0"/>
          <c:showVal val="0"/>
          <c:showCatName val="0"/>
          <c:showSerName val="0"/>
          <c:showPercent val="0"/>
          <c:showBubbleSize val="0"/>
        </c:dLbls>
        <c:axId val="715763384"/>
        <c:axId val="715763776"/>
      </c:scatterChart>
      <c:valAx>
        <c:axId val="7157633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63776"/>
        <c:crosses val="autoZero"/>
        <c:crossBetween val="midCat"/>
      </c:valAx>
      <c:valAx>
        <c:axId val="715763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633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'JBT01'!$H$1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3982699037620295"/>
                  <c:y val="2.374161563137945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'JBT01'!$C$2:$C$19</c:f>
              <c:numCache>
                <c:formatCode>General</c:formatCode>
                <c:ptCount val="18"/>
                <c:pt idx="0">
                  <c:v>1170100</c:v>
                </c:pt>
                <c:pt idx="1">
                  <c:v>765200</c:v>
                </c:pt>
                <c:pt idx="2">
                  <c:v>1108400</c:v>
                </c:pt>
                <c:pt idx="3">
                  <c:v>626200</c:v>
                </c:pt>
                <c:pt idx="4">
                  <c:v>472000</c:v>
                </c:pt>
                <c:pt idx="5">
                  <c:v>535300</c:v>
                </c:pt>
                <c:pt idx="6">
                  <c:v>370600</c:v>
                </c:pt>
                <c:pt idx="7">
                  <c:v>313600</c:v>
                </c:pt>
                <c:pt idx="8">
                  <c:v>397900</c:v>
                </c:pt>
                <c:pt idx="9">
                  <c:v>755800</c:v>
                </c:pt>
                <c:pt idx="10">
                  <c:v>750200</c:v>
                </c:pt>
                <c:pt idx="11">
                  <c:v>526500</c:v>
                </c:pt>
                <c:pt idx="12">
                  <c:v>746000</c:v>
                </c:pt>
                <c:pt idx="13">
                  <c:v>983400</c:v>
                </c:pt>
                <c:pt idx="14">
                  <c:v>823700</c:v>
                </c:pt>
                <c:pt idx="15">
                  <c:v>861100</c:v>
                </c:pt>
                <c:pt idx="16">
                  <c:v>273500</c:v>
                </c:pt>
                <c:pt idx="17">
                  <c:v>116200</c:v>
                </c:pt>
              </c:numCache>
            </c:numRef>
          </c:xVal>
          <c:yVal>
            <c:numRef>
              <c:f>'JBT01'!$H$2:$H$19</c:f>
              <c:numCache>
                <c:formatCode>General</c:formatCode>
                <c:ptCount val="18"/>
                <c:pt idx="0">
                  <c:v>9.5012120000000005E-2</c:v>
                </c:pt>
                <c:pt idx="1">
                  <c:v>3.4051400000000002E-2</c:v>
                </c:pt>
                <c:pt idx="2">
                  <c:v>4.5222720000000001E-2</c:v>
                </c:pt>
                <c:pt idx="3">
                  <c:v>9.6434799999999994E-3</c:v>
                </c:pt>
                <c:pt idx="4">
                  <c:v>1.26024E-2</c:v>
                </c:pt>
                <c:pt idx="5">
                  <c:v>6.9588999999999996E-3</c:v>
                </c:pt>
                <c:pt idx="6">
                  <c:v>2.8165600000000001E-3</c:v>
                </c:pt>
                <c:pt idx="7">
                  <c:v>4.3590399999999998E-3</c:v>
                </c:pt>
                <c:pt idx="8">
                  <c:v>6.40619E-3</c:v>
                </c:pt>
                <c:pt idx="9">
                  <c:v>4.8673519999999998E-2</c:v>
                </c:pt>
                <c:pt idx="10">
                  <c:v>5.4164440000000001E-2</c:v>
                </c:pt>
                <c:pt idx="11">
                  <c:v>2.321865E-2</c:v>
                </c:pt>
                <c:pt idx="12">
                  <c:v>5.8113400000000003E-2</c:v>
                </c:pt>
                <c:pt idx="13">
                  <c:v>4.5924779999999998E-2</c:v>
                </c:pt>
                <c:pt idx="14">
                  <c:v>8.7312200000000006E-2</c:v>
                </c:pt>
                <c:pt idx="15">
                  <c:v>4.0902250000000001E-2</c:v>
                </c:pt>
                <c:pt idx="16">
                  <c:v>5.9349499999999996E-3</c:v>
                </c:pt>
                <c:pt idx="17">
                  <c:v>2.4285800000000001E-3</c:v>
                </c:pt>
              </c:numCache>
            </c:numRef>
          </c:yVal>
          <c:smooth val="0"/>
        </c:ser>
        <c:dLbls>
          <c:showLegendKey val="0"/>
          <c:showVal val="0"/>
          <c:showCatName val="0"/>
          <c:showSerName val="0"/>
          <c:showPercent val="0"/>
          <c:showBubbleSize val="0"/>
        </c:dLbls>
        <c:axId val="715764560"/>
        <c:axId val="589726504"/>
      </c:scatterChart>
      <c:valAx>
        <c:axId val="7157645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26504"/>
        <c:crosses val="autoZero"/>
        <c:crossBetween val="midCat"/>
      </c:valAx>
      <c:valAx>
        <c:axId val="5897265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57645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JBT02_SameDuration!$J$1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JBT02_SameDuration!$G$2:$G$14</c:f>
              <c:numCache>
                <c:formatCode>General</c:formatCode>
                <c:ptCount val="13"/>
                <c:pt idx="0">
                  <c:v>167500</c:v>
                </c:pt>
                <c:pt idx="1">
                  <c:v>35200</c:v>
                </c:pt>
                <c:pt idx="3">
                  <c:v>32300</c:v>
                </c:pt>
                <c:pt idx="4">
                  <c:v>32100</c:v>
                </c:pt>
                <c:pt idx="5">
                  <c:v>18400</c:v>
                </c:pt>
                <c:pt idx="6">
                  <c:v>33000</c:v>
                </c:pt>
                <c:pt idx="9">
                  <c:v>106900</c:v>
                </c:pt>
                <c:pt idx="10">
                  <c:v>50500</c:v>
                </c:pt>
                <c:pt idx="11">
                  <c:v>10200</c:v>
                </c:pt>
                <c:pt idx="12">
                  <c:v>1300</c:v>
                </c:pt>
              </c:numCache>
            </c:numRef>
          </c:xVal>
          <c:yVal>
            <c:numRef>
              <c:f>JBT02_SameDuration!$J$2:$J$14</c:f>
              <c:numCache>
                <c:formatCode>General</c:formatCode>
                <c:ptCount val="13"/>
                <c:pt idx="0">
                  <c:v>1.365796</c:v>
                </c:pt>
                <c:pt idx="1">
                  <c:v>0.29075200000000001</c:v>
                </c:pt>
                <c:pt idx="3">
                  <c:v>0.28520899999999999</c:v>
                </c:pt>
                <c:pt idx="4">
                  <c:v>0.37813799999999997</c:v>
                </c:pt>
                <c:pt idx="5">
                  <c:v>0.21509600000000001</c:v>
                </c:pt>
                <c:pt idx="6">
                  <c:v>0.42437999999999998</c:v>
                </c:pt>
                <c:pt idx="9">
                  <c:v>0.85726600000000008</c:v>
                </c:pt>
                <c:pt idx="10">
                  <c:v>0.36713499999999999</c:v>
                </c:pt>
                <c:pt idx="11">
                  <c:v>8.1906000000000007E-2</c:v>
                </c:pt>
                <c:pt idx="12">
                  <c:v>1.0933E-2</c:v>
                </c:pt>
              </c:numCache>
            </c:numRef>
          </c:yVal>
          <c:smooth val="0"/>
        </c:ser>
        <c:dLbls>
          <c:showLegendKey val="0"/>
          <c:showVal val="0"/>
          <c:showCatName val="0"/>
          <c:showSerName val="0"/>
          <c:showPercent val="0"/>
          <c:showBubbleSize val="0"/>
        </c:dLbls>
        <c:axId val="709787480"/>
        <c:axId val="597553888"/>
      </c:scatterChart>
      <c:valAx>
        <c:axId val="7097874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7553888"/>
        <c:crosses val="autoZero"/>
        <c:crossBetween val="midCat"/>
      </c:valAx>
      <c:valAx>
        <c:axId val="5975538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97874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'JBT01'!$I$1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32837817147856518"/>
                  <c:y val="6.7359288422280551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'JBT01'!$C$2:$C$19</c:f>
              <c:numCache>
                <c:formatCode>General</c:formatCode>
                <c:ptCount val="18"/>
                <c:pt idx="0">
                  <c:v>1170100</c:v>
                </c:pt>
                <c:pt idx="1">
                  <c:v>765200</c:v>
                </c:pt>
                <c:pt idx="2">
                  <c:v>1108400</c:v>
                </c:pt>
                <c:pt idx="3">
                  <c:v>626200</c:v>
                </c:pt>
                <c:pt idx="4">
                  <c:v>472000</c:v>
                </c:pt>
                <c:pt idx="5">
                  <c:v>535300</c:v>
                </c:pt>
                <c:pt idx="6">
                  <c:v>370600</c:v>
                </c:pt>
                <c:pt idx="7">
                  <c:v>313600</c:v>
                </c:pt>
                <c:pt idx="8">
                  <c:v>397900</c:v>
                </c:pt>
                <c:pt idx="9">
                  <c:v>755800</c:v>
                </c:pt>
                <c:pt idx="10">
                  <c:v>750200</c:v>
                </c:pt>
                <c:pt idx="11">
                  <c:v>526500</c:v>
                </c:pt>
                <c:pt idx="12">
                  <c:v>746000</c:v>
                </c:pt>
                <c:pt idx="13">
                  <c:v>983400</c:v>
                </c:pt>
                <c:pt idx="14">
                  <c:v>823700</c:v>
                </c:pt>
                <c:pt idx="15">
                  <c:v>861100</c:v>
                </c:pt>
                <c:pt idx="16">
                  <c:v>273500</c:v>
                </c:pt>
                <c:pt idx="17">
                  <c:v>116200</c:v>
                </c:pt>
              </c:numCache>
            </c:numRef>
          </c:xVal>
          <c:yVal>
            <c:numRef>
              <c:f>'JBT01'!$I$2:$I$19</c:f>
              <c:numCache>
                <c:formatCode>General</c:formatCode>
                <c:ptCount val="18"/>
                <c:pt idx="0">
                  <c:v>6.587663</c:v>
                </c:pt>
                <c:pt idx="1">
                  <c:v>4.0479079999999996</c:v>
                </c:pt>
                <c:pt idx="2">
                  <c:v>5.7304279999999999</c:v>
                </c:pt>
                <c:pt idx="3">
                  <c:v>3.1059519999999998</c:v>
                </c:pt>
                <c:pt idx="4">
                  <c:v>2.4874399999999999</c:v>
                </c:pt>
                <c:pt idx="5">
                  <c:v>2.746089</c:v>
                </c:pt>
                <c:pt idx="6">
                  <c:v>1.971592</c:v>
                </c:pt>
                <c:pt idx="7">
                  <c:v>1.658944</c:v>
                </c:pt>
                <c:pt idx="8">
                  <c:v>2.578392</c:v>
                </c:pt>
                <c:pt idx="9">
                  <c:v>16.771201999999999</c:v>
                </c:pt>
                <c:pt idx="10">
                  <c:v>11.680614</c:v>
                </c:pt>
                <c:pt idx="11">
                  <c:v>4.4594550000000002</c:v>
                </c:pt>
                <c:pt idx="12">
                  <c:v>6.0053000000000001</c:v>
                </c:pt>
                <c:pt idx="13">
                  <c:v>6.1659179999999996</c:v>
                </c:pt>
                <c:pt idx="14">
                  <c:v>5.461131</c:v>
                </c:pt>
                <c:pt idx="15">
                  <c:v>4.5724410000000004</c:v>
                </c:pt>
                <c:pt idx="16">
                  <c:v>1.2034</c:v>
                </c:pt>
                <c:pt idx="17">
                  <c:v>0.42877799999999999</c:v>
                </c:pt>
              </c:numCache>
            </c:numRef>
          </c:yVal>
          <c:smooth val="0"/>
        </c:ser>
        <c:dLbls>
          <c:showLegendKey val="0"/>
          <c:showVal val="0"/>
          <c:showCatName val="0"/>
          <c:showSerName val="0"/>
          <c:showPercent val="0"/>
          <c:showBubbleSize val="0"/>
        </c:dLbls>
        <c:axId val="589727288"/>
        <c:axId val="589727680"/>
      </c:scatterChart>
      <c:valAx>
        <c:axId val="5897272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27680"/>
        <c:crosses val="autoZero"/>
        <c:crossBetween val="midCat"/>
      </c:valAx>
      <c:valAx>
        <c:axId val="5897276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272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JBT01_SameDuration!$G$2:$G$14</c:f>
              <c:numCache>
                <c:formatCode>General</c:formatCode>
                <c:ptCount val="13"/>
                <c:pt idx="0" formatCode="0.00">
                  <c:v>1873600</c:v>
                </c:pt>
                <c:pt idx="1">
                  <c:v>626200</c:v>
                </c:pt>
                <c:pt idx="2">
                  <c:v>472000</c:v>
                </c:pt>
                <c:pt idx="3">
                  <c:v>535300</c:v>
                </c:pt>
                <c:pt idx="4">
                  <c:v>370600</c:v>
                </c:pt>
                <c:pt idx="5">
                  <c:v>313600</c:v>
                </c:pt>
                <c:pt idx="6">
                  <c:v>397900</c:v>
                </c:pt>
                <c:pt idx="7">
                  <c:v>2032500</c:v>
                </c:pt>
                <c:pt idx="8">
                  <c:v>1729400</c:v>
                </c:pt>
                <c:pt idx="9">
                  <c:v>823700</c:v>
                </c:pt>
                <c:pt idx="10">
                  <c:v>861100</c:v>
                </c:pt>
                <c:pt idx="11">
                  <c:v>273500</c:v>
                </c:pt>
                <c:pt idx="12">
                  <c:v>116200</c:v>
                </c:pt>
              </c:numCache>
            </c:numRef>
          </c:xVal>
          <c:yVal>
            <c:numRef>
              <c:f>JBT01_SameDuration!$H$2:$H$14</c:f>
              <c:numCache>
                <c:formatCode>General</c:formatCode>
                <c:ptCount val="13"/>
                <c:pt idx="0">
                  <c:v>0.42074400000000001</c:v>
                </c:pt>
                <c:pt idx="1">
                  <c:v>1.6719540000000001E-2</c:v>
                </c:pt>
                <c:pt idx="2">
                  <c:v>5.9943999999999997E-2</c:v>
                </c:pt>
                <c:pt idx="3">
                  <c:v>1.033129E-2</c:v>
                </c:pt>
                <c:pt idx="4">
                  <c:v>8.7090999999999991E-3</c:v>
                </c:pt>
                <c:pt idx="5">
                  <c:v>7.4950399999999997E-3</c:v>
                </c:pt>
                <c:pt idx="6">
                  <c:v>1.137994E-2</c:v>
                </c:pt>
                <c:pt idx="7">
                  <c:v>0.19848930000000001</c:v>
                </c:pt>
                <c:pt idx="8">
                  <c:v>0.28400564</c:v>
                </c:pt>
                <c:pt idx="9">
                  <c:v>0.18368509999999999</c:v>
                </c:pt>
                <c:pt idx="10">
                  <c:v>8.4387799999999999E-2</c:v>
                </c:pt>
                <c:pt idx="11">
                  <c:v>8.6426000000000003E-3</c:v>
                </c:pt>
                <c:pt idx="12">
                  <c:v>2.7655599999999998E-3</c:v>
                </c:pt>
              </c:numCache>
            </c:numRef>
          </c:yVal>
          <c:smooth val="0"/>
        </c:ser>
        <c:dLbls>
          <c:showLegendKey val="0"/>
          <c:showVal val="0"/>
          <c:showCatName val="0"/>
          <c:showSerName val="0"/>
          <c:showPercent val="0"/>
          <c:showBubbleSize val="0"/>
        </c:dLbls>
        <c:axId val="589728464"/>
        <c:axId val="589728856"/>
      </c:scatterChart>
      <c:valAx>
        <c:axId val="58972846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28856"/>
        <c:crosses val="autoZero"/>
        <c:crossBetween val="midCat"/>
      </c:valAx>
      <c:valAx>
        <c:axId val="589728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2846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JBT01_SameDuration!$G$2:$G$14</c:f>
              <c:numCache>
                <c:formatCode>General</c:formatCode>
                <c:ptCount val="13"/>
                <c:pt idx="0" formatCode="0.00">
                  <c:v>1873600</c:v>
                </c:pt>
                <c:pt idx="1">
                  <c:v>626200</c:v>
                </c:pt>
                <c:pt idx="2">
                  <c:v>472000</c:v>
                </c:pt>
                <c:pt idx="3">
                  <c:v>535300</c:v>
                </c:pt>
                <c:pt idx="4">
                  <c:v>370600</c:v>
                </c:pt>
                <c:pt idx="5">
                  <c:v>313600</c:v>
                </c:pt>
                <c:pt idx="6">
                  <c:v>397900</c:v>
                </c:pt>
                <c:pt idx="7">
                  <c:v>2032500</c:v>
                </c:pt>
                <c:pt idx="8">
                  <c:v>1729400</c:v>
                </c:pt>
                <c:pt idx="9">
                  <c:v>823700</c:v>
                </c:pt>
                <c:pt idx="10">
                  <c:v>861100</c:v>
                </c:pt>
                <c:pt idx="11">
                  <c:v>273500</c:v>
                </c:pt>
                <c:pt idx="12">
                  <c:v>116200</c:v>
                </c:pt>
              </c:numCache>
            </c:numRef>
          </c:xVal>
          <c:yVal>
            <c:numRef>
              <c:f>JBT01_SameDuration!$I$2:$I$14</c:f>
              <c:numCache>
                <c:formatCode>General</c:formatCode>
                <c:ptCount val="13"/>
                <c:pt idx="0">
                  <c:v>7.9274120000000003E-2</c:v>
                </c:pt>
                <c:pt idx="1">
                  <c:v>9.6434799999999994E-3</c:v>
                </c:pt>
                <c:pt idx="2">
                  <c:v>1.26024E-2</c:v>
                </c:pt>
                <c:pt idx="3">
                  <c:v>6.9588999999999996E-3</c:v>
                </c:pt>
                <c:pt idx="4">
                  <c:v>2.8165600000000001E-3</c:v>
                </c:pt>
                <c:pt idx="5">
                  <c:v>4.3590399999999998E-3</c:v>
                </c:pt>
                <c:pt idx="6">
                  <c:v>6.40619E-3</c:v>
                </c:pt>
                <c:pt idx="7">
                  <c:v>0.12605661000000001</c:v>
                </c:pt>
                <c:pt idx="8">
                  <c:v>0.10403818000000001</c:v>
                </c:pt>
                <c:pt idx="9">
                  <c:v>8.7312200000000006E-2</c:v>
                </c:pt>
                <c:pt idx="10">
                  <c:v>4.0902250000000001E-2</c:v>
                </c:pt>
                <c:pt idx="11">
                  <c:v>5.9349499999999996E-3</c:v>
                </c:pt>
                <c:pt idx="12">
                  <c:v>2.4285800000000001E-3</c:v>
                </c:pt>
              </c:numCache>
            </c:numRef>
          </c:yVal>
          <c:smooth val="0"/>
        </c:ser>
        <c:dLbls>
          <c:showLegendKey val="0"/>
          <c:showVal val="0"/>
          <c:showCatName val="0"/>
          <c:showSerName val="0"/>
          <c:showPercent val="0"/>
          <c:showBubbleSize val="0"/>
        </c:dLbls>
        <c:axId val="589729640"/>
        <c:axId val="589730032"/>
      </c:scatterChart>
      <c:valAx>
        <c:axId val="589729640"/>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30032"/>
        <c:crosses val="autoZero"/>
        <c:crossBetween val="midCat"/>
      </c:valAx>
      <c:valAx>
        <c:axId val="5897300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296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JBT01_SameDuration!$G$2:$G$14</c:f>
              <c:numCache>
                <c:formatCode>General</c:formatCode>
                <c:ptCount val="13"/>
                <c:pt idx="0" formatCode="0.00">
                  <c:v>1873600</c:v>
                </c:pt>
                <c:pt idx="1">
                  <c:v>626200</c:v>
                </c:pt>
                <c:pt idx="2">
                  <c:v>472000</c:v>
                </c:pt>
                <c:pt idx="3">
                  <c:v>535300</c:v>
                </c:pt>
                <c:pt idx="4">
                  <c:v>370600</c:v>
                </c:pt>
                <c:pt idx="5">
                  <c:v>313600</c:v>
                </c:pt>
                <c:pt idx="6">
                  <c:v>397900</c:v>
                </c:pt>
                <c:pt idx="7">
                  <c:v>2032500</c:v>
                </c:pt>
                <c:pt idx="8">
                  <c:v>1729400</c:v>
                </c:pt>
                <c:pt idx="9">
                  <c:v>823700</c:v>
                </c:pt>
                <c:pt idx="10">
                  <c:v>861100</c:v>
                </c:pt>
                <c:pt idx="11">
                  <c:v>273500</c:v>
                </c:pt>
                <c:pt idx="12">
                  <c:v>116200</c:v>
                </c:pt>
              </c:numCache>
            </c:numRef>
          </c:xVal>
          <c:yVal>
            <c:numRef>
              <c:f>JBT01_SameDuration!$J$2:$J$14</c:f>
              <c:numCache>
                <c:formatCode>General</c:formatCode>
                <c:ptCount val="13"/>
                <c:pt idx="0">
                  <c:v>9.7783359999999995</c:v>
                </c:pt>
                <c:pt idx="1">
                  <c:v>3.1059519999999998</c:v>
                </c:pt>
                <c:pt idx="2">
                  <c:v>2.4874399999999999</c:v>
                </c:pt>
                <c:pt idx="3">
                  <c:v>2.746089</c:v>
                </c:pt>
                <c:pt idx="4">
                  <c:v>1.971592</c:v>
                </c:pt>
                <c:pt idx="5">
                  <c:v>1.658944</c:v>
                </c:pt>
                <c:pt idx="6">
                  <c:v>2.578392</c:v>
                </c:pt>
                <c:pt idx="7">
                  <c:v>32.911270999999999</c:v>
                </c:pt>
                <c:pt idx="8">
                  <c:v>12.171218</c:v>
                </c:pt>
                <c:pt idx="9">
                  <c:v>5.461131</c:v>
                </c:pt>
                <c:pt idx="10">
                  <c:v>4.5724410000000004</c:v>
                </c:pt>
                <c:pt idx="11">
                  <c:v>1.2034</c:v>
                </c:pt>
                <c:pt idx="12">
                  <c:v>0.42877799999999999</c:v>
                </c:pt>
              </c:numCache>
            </c:numRef>
          </c:yVal>
          <c:smooth val="0"/>
        </c:ser>
        <c:dLbls>
          <c:showLegendKey val="0"/>
          <c:showVal val="0"/>
          <c:showCatName val="0"/>
          <c:showSerName val="0"/>
          <c:showPercent val="0"/>
          <c:showBubbleSize val="0"/>
        </c:dLbls>
        <c:axId val="589730816"/>
        <c:axId val="589731208"/>
      </c:scatterChart>
      <c:valAx>
        <c:axId val="589730816"/>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31208"/>
        <c:crosses val="autoZero"/>
        <c:crossBetween val="midCat"/>
      </c:valAx>
      <c:valAx>
        <c:axId val="5897312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308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JBT01_SameDuration!$H$1</c:f>
              <c:strCache>
                <c:ptCount val="1"/>
                <c:pt idx="0">
                  <c:v>TP</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JBT01_SameDuration!$G$2:$G$14</c:f>
              <c:numCache>
                <c:formatCode>General</c:formatCode>
                <c:ptCount val="13"/>
                <c:pt idx="0" formatCode="0.00">
                  <c:v>1873600</c:v>
                </c:pt>
                <c:pt idx="1">
                  <c:v>626200</c:v>
                </c:pt>
                <c:pt idx="2">
                  <c:v>472000</c:v>
                </c:pt>
                <c:pt idx="3">
                  <c:v>535300</c:v>
                </c:pt>
                <c:pt idx="4">
                  <c:v>370600</c:v>
                </c:pt>
                <c:pt idx="5">
                  <c:v>313600</c:v>
                </c:pt>
                <c:pt idx="6">
                  <c:v>397900</c:v>
                </c:pt>
                <c:pt idx="7">
                  <c:v>2032500</c:v>
                </c:pt>
                <c:pt idx="8">
                  <c:v>1729400</c:v>
                </c:pt>
                <c:pt idx="9">
                  <c:v>823700</c:v>
                </c:pt>
                <c:pt idx="10">
                  <c:v>861100</c:v>
                </c:pt>
                <c:pt idx="11">
                  <c:v>273500</c:v>
                </c:pt>
                <c:pt idx="12">
                  <c:v>116200</c:v>
                </c:pt>
              </c:numCache>
            </c:numRef>
          </c:xVal>
          <c:yVal>
            <c:numRef>
              <c:f>JBT01_SameDuration!$H$2:$H$14</c:f>
              <c:numCache>
                <c:formatCode>General</c:formatCode>
                <c:ptCount val="13"/>
                <c:pt idx="0">
                  <c:v>0.42074400000000001</c:v>
                </c:pt>
                <c:pt idx="1">
                  <c:v>1.6719540000000001E-2</c:v>
                </c:pt>
                <c:pt idx="2">
                  <c:v>5.9943999999999997E-2</c:v>
                </c:pt>
                <c:pt idx="3">
                  <c:v>1.033129E-2</c:v>
                </c:pt>
                <c:pt idx="4">
                  <c:v>8.7090999999999991E-3</c:v>
                </c:pt>
                <c:pt idx="5">
                  <c:v>7.4950399999999997E-3</c:v>
                </c:pt>
                <c:pt idx="6">
                  <c:v>1.137994E-2</c:v>
                </c:pt>
                <c:pt idx="7">
                  <c:v>0.19848930000000001</c:v>
                </c:pt>
                <c:pt idx="8">
                  <c:v>0.28400564</c:v>
                </c:pt>
                <c:pt idx="9">
                  <c:v>0.18368509999999999</c:v>
                </c:pt>
                <c:pt idx="10">
                  <c:v>8.4387799999999999E-2</c:v>
                </c:pt>
                <c:pt idx="11">
                  <c:v>8.6426000000000003E-3</c:v>
                </c:pt>
                <c:pt idx="12">
                  <c:v>2.7655599999999998E-3</c:v>
                </c:pt>
              </c:numCache>
            </c:numRef>
          </c:yVal>
          <c:smooth val="0"/>
        </c:ser>
        <c:dLbls>
          <c:showLegendKey val="0"/>
          <c:showVal val="0"/>
          <c:showCatName val="0"/>
          <c:showSerName val="0"/>
          <c:showPercent val="0"/>
          <c:showBubbleSize val="0"/>
        </c:dLbls>
        <c:axId val="589731992"/>
        <c:axId val="589732384"/>
      </c:scatterChart>
      <c:valAx>
        <c:axId val="589731992"/>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32384"/>
        <c:crosses val="autoZero"/>
        <c:crossBetween val="midCat"/>
      </c:valAx>
      <c:valAx>
        <c:axId val="589732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319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JBT01_SameDuration!$I$1</c:f>
              <c:strCache>
                <c:ptCount val="1"/>
                <c:pt idx="0">
                  <c:v>TDP</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JBT01_SameDuration!$G$2:$G$14</c:f>
              <c:numCache>
                <c:formatCode>General</c:formatCode>
                <c:ptCount val="13"/>
                <c:pt idx="0" formatCode="0.00">
                  <c:v>1873600</c:v>
                </c:pt>
                <c:pt idx="1">
                  <c:v>626200</c:v>
                </c:pt>
                <c:pt idx="2">
                  <c:v>472000</c:v>
                </c:pt>
                <c:pt idx="3">
                  <c:v>535300</c:v>
                </c:pt>
                <c:pt idx="4">
                  <c:v>370600</c:v>
                </c:pt>
                <c:pt idx="5">
                  <c:v>313600</c:v>
                </c:pt>
                <c:pt idx="6">
                  <c:v>397900</c:v>
                </c:pt>
                <c:pt idx="7">
                  <c:v>2032500</c:v>
                </c:pt>
                <c:pt idx="8">
                  <c:v>1729400</c:v>
                </c:pt>
                <c:pt idx="9">
                  <c:v>823700</c:v>
                </c:pt>
                <c:pt idx="10">
                  <c:v>861100</c:v>
                </c:pt>
                <c:pt idx="11">
                  <c:v>273500</c:v>
                </c:pt>
                <c:pt idx="12">
                  <c:v>116200</c:v>
                </c:pt>
              </c:numCache>
            </c:numRef>
          </c:xVal>
          <c:yVal>
            <c:numRef>
              <c:f>JBT01_SameDuration!$I$2:$I$14</c:f>
              <c:numCache>
                <c:formatCode>General</c:formatCode>
                <c:ptCount val="13"/>
                <c:pt idx="0">
                  <c:v>7.9274120000000003E-2</c:v>
                </c:pt>
                <c:pt idx="1">
                  <c:v>9.6434799999999994E-3</c:v>
                </c:pt>
                <c:pt idx="2">
                  <c:v>1.26024E-2</c:v>
                </c:pt>
                <c:pt idx="3">
                  <c:v>6.9588999999999996E-3</c:v>
                </c:pt>
                <c:pt idx="4">
                  <c:v>2.8165600000000001E-3</c:v>
                </c:pt>
                <c:pt idx="5">
                  <c:v>4.3590399999999998E-3</c:v>
                </c:pt>
                <c:pt idx="6">
                  <c:v>6.40619E-3</c:v>
                </c:pt>
                <c:pt idx="7">
                  <c:v>0.12605661000000001</c:v>
                </c:pt>
                <c:pt idx="8">
                  <c:v>0.10403818000000001</c:v>
                </c:pt>
                <c:pt idx="9">
                  <c:v>8.7312200000000006E-2</c:v>
                </c:pt>
                <c:pt idx="10">
                  <c:v>4.0902250000000001E-2</c:v>
                </c:pt>
                <c:pt idx="11">
                  <c:v>5.9349499999999996E-3</c:v>
                </c:pt>
                <c:pt idx="12">
                  <c:v>2.4285800000000001E-3</c:v>
                </c:pt>
              </c:numCache>
            </c:numRef>
          </c:yVal>
          <c:smooth val="0"/>
        </c:ser>
        <c:dLbls>
          <c:showLegendKey val="0"/>
          <c:showVal val="0"/>
          <c:showCatName val="0"/>
          <c:showSerName val="0"/>
          <c:showPercent val="0"/>
          <c:showBubbleSize val="0"/>
        </c:dLbls>
        <c:axId val="589733168"/>
        <c:axId val="589733560"/>
      </c:scatterChart>
      <c:valAx>
        <c:axId val="58973316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33560"/>
        <c:crosses val="autoZero"/>
        <c:crossBetween val="midCat"/>
      </c:valAx>
      <c:valAx>
        <c:axId val="5897335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973316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TPLoadvsFlow</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JBT01_SameDuration!$J$1</c:f>
              <c:strCache>
                <c:ptCount val="1"/>
                <c:pt idx="0">
                  <c:v>TN</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power"/>
            <c:dispRSqr val="1"/>
            <c:dispEq val="1"/>
            <c:trendlineLbl>
              <c:layout>
                <c:manualLayout>
                  <c:x val="-0.18654483814523184"/>
                  <c:y val="-5.097440944881889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JBT01_SameDuration!$G$2:$G$14</c:f>
              <c:numCache>
                <c:formatCode>General</c:formatCode>
                <c:ptCount val="13"/>
                <c:pt idx="0" formatCode="0.00">
                  <c:v>1873600</c:v>
                </c:pt>
                <c:pt idx="1">
                  <c:v>626200</c:v>
                </c:pt>
                <c:pt idx="2">
                  <c:v>472000</c:v>
                </c:pt>
                <c:pt idx="3">
                  <c:v>535300</c:v>
                </c:pt>
                <c:pt idx="4">
                  <c:v>370600</c:v>
                </c:pt>
                <c:pt idx="5">
                  <c:v>313600</c:v>
                </c:pt>
                <c:pt idx="6">
                  <c:v>397900</c:v>
                </c:pt>
                <c:pt idx="7">
                  <c:v>2032500</c:v>
                </c:pt>
                <c:pt idx="8">
                  <c:v>1729400</c:v>
                </c:pt>
                <c:pt idx="9">
                  <c:v>823700</c:v>
                </c:pt>
                <c:pt idx="10">
                  <c:v>861100</c:v>
                </c:pt>
                <c:pt idx="11">
                  <c:v>273500</c:v>
                </c:pt>
                <c:pt idx="12">
                  <c:v>116200</c:v>
                </c:pt>
              </c:numCache>
            </c:numRef>
          </c:xVal>
          <c:yVal>
            <c:numRef>
              <c:f>JBT01_SameDuration!$J$2:$J$14</c:f>
              <c:numCache>
                <c:formatCode>General</c:formatCode>
                <c:ptCount val="13"/>
                <c:pt idx="0">
                  <c:v>9.7783359999999995</c:v>
                </c:pt>
                <c:pt idx="1">
                  <c:v>3.1059519999999998</c:v>
                </c:pt>
                <c:pt idx="2">
                  <c:v>2.4874399999999999</c:v>
                </c:pt>
                <c:pt idx="3">
                  <c:v>2.746089</c:v>
                </c:pt>
                <c:pt idx="4">
                  <c:v>1.971592</c:v>
                </c:pt>
                <c:pt idx="5">
                  <c:v>1.658944</c:v>
                </c:pt>
                <c:pt idx="6">
                  <c:v>2.578392</c:v>
                </c:pt>
                <c:pt idx="7">
                  <c:v>32.911270999999999</c:v>
                </c:pt>
                <c:pt idx="8">
                  <c:v>12.171218</c:v>
                </c:pt>
                <c:pt idx="9">
                  <c:v>5.461131</c:v>
                </c:pt>
                <c:pt idx="10">
                  <c:v>4.5724410000000004</c:v>
                </c:pt>
                <c:pt idx="11">
                  <c:v>1.2034</c:v>
                </c:pt>
                <c:pt idx="12">
                  <c:v>0.42877799999999999</c:v>
                </c:pt>
              </c:numCache>
            </c:numRef>
          </c:yVal>
          <c:smooth val="0"/>
        </c:ser>
        <c:dLbls>
          <c:showLegendKey val="0"/>
          <c:showVal val="0"/>
          <c:showCatName val="0"/>
          <c:showSerName val="0"/>
          <c:showPercent val="0"/>
          <c:showBubbleSize val="0"/>
        </c:dLbls>
        <c:axId val="634740904"/>
        <c:axId val="634741296"/>
      </c:scatterChart>
      <c:valAx>
        <c:axId val="634740904"/>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1296"/>
        <c:crosses val="autoZero"/>
        <c:crossBetween val="midCat"/>
      </c:valAx>
      <c:valAx>
        <c:axId val="6347412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09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'JBT13'!$H$1</c:f>
              <c:strCache>
                <c:ptCount val="1"/>
                <c:pt idx="0">
                  <c:v>TPLoad (Kg)</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34708070866141733"/>
                  <c:y val="-4.568591821949857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'JBT13'!$D$2:$D$17</c:f>
              <c:numCache>
                <c:formatCode>General</c:formatCode>
                <c:ptCount val="16"/>
                <c:pt idx="0">
                  <c:v>184200</c:v>
                </c:pt>
                <c:pt idx="1">
                  <c:v>275500</c:v>
                </c:pt>
                <c:pt idx="2">
                  <c:v>129100</c:v>
                </c:pt>
                <c:pt idx="3">
                  <c:v>103100</c:v>
                </c:pt>
                <c:pt idx="4">
                  <c:v>60300</c:v>
                </c:pt>
                <c:pt idx="5">
                  <c:v>85100</c:v>
                </c:pt>
                <c:pt idx="6">
                  <c:v>104100</c:v>
                </c:pt>
                <c:pt idx="7">
                  <c:v>70500</c:v>
                </c:pt>
                <c:pt idx="8">
                  <c:v>149000</c:v>
                </c:pt>
                <c:pt idx="9">
                  <c:v>101500</c:v>
                </c:pt>
                <c:pt idx="10">
                  <c:v>148900</c:v>
                </c:pt>
                <c:pt idx="11">
                  <c:v>135100</c:v>
                </c:pt>
                <c:pt idx="12">
                  <c:v>78900</c:v>
                </c:pt>
                <c:pt idx="13">
                  <c:v>146700</c:v>
                </c:pt>
                <c:pt idx="14">
                  <c:v>86500</c:v>
                </c:pt>
                <c:pt idx="15">
                  <c:v>65400</c:v>
                </c:pt>
              </c:numCache>
            </c:numRef>
          </c:xVal>
          <c:yVal>
            <c:numRef>
              <c:f>'JBT13'!$H$2:$H$17</c:f>
              <c:numCache>
                <c:formatCode>General</c:formatCode>
                <c:ptCount val="16"/>
                <c:pt idx="0">
                  <c:v>0.10315199999999999</c:v>
                </c:pt>
                <c:pt idx="1">
                  <c:v>3.3059999999999999E-2</c:v>
                </c:pt>
                <c:pt idx="2">
                  <c:v>4.5565844999999996</c:v>
                </c:pt>
                <c:pt idx="3">
                  <c:v>0.38353199999999998</c:v>
                </c:pt>
                <c:pt idx="4">
                  <c:v>0.17939250000000001</c:v>
                </c:pt>
                <c:pt idx="5">
                  <c:v>0.30508350000000001</c:v>
                </c:pt>
                <c:pt idx="6">
                  <c:v>8.48415E-2</c:v>
                </c:pt>
                <c:pt idx="7">
                  <c:v>6.4296000000000006E-2</c:v>
                </c:pt>
                <c:pt idx="8">
                  <c:v>7.8225000000000003E-2</c:v>
                </c:pt>
                <c:pt idx="9">
                  <c:v>3.9077500000000001E-2</c:v>
                </c:pt>
                <c:pt idx="10">
                  <c:v>4.6456799999999999E-2</c:v>
                </c:pt>
                <c:pt idx="11">
                  <c:v>1.176721E-2</c:v>
                </c:pt>
                <c:pt idx="12">
                  <c:v>2.7615000000000001E-2</c:v>
                </c:pt>
                <c:pt idx="13">
                  <c:v>1.398051E-2</c:v>
                </c:pt>
                <c:pt idx="14">
                  <c:v>1.09855E-2</c:v>
                </c:pt>
                <c:pt idx="15">
                  <c:v>2.1451199999999999E-3</c:v>
                </c:pt>
              </c:numCache>
            </c:numRef>
          </c:yVal>
          <c:smooth val="0"/>
        </c:ser>
        <c:dLbls>
          <c:showLegendKey val="0"/>
          <c:showVal val="0"/>
          <c:showCatName val="0"/>
          <c:showSerName val="0"/>
          <c:showPercent val="0"/>
          <c:showBubbleSize val="0"/>
        </c:dLbls>
        <c:axId val="634742080"/>
        <c:axId val="634742472"/>
      </c:scatterChart>
      <c:valAx>
        <c:axId val="6347420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2472"/>
        <c:crosses val="autoZero"/>
        <c:crossBetween val="midCat"/>
      </c:valAx>
      <c:valAx>
        <c:axId val="6347424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20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TDPLoad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'JBT13'!$I$1</c:f>
              <c:strCache>
                <c:ptCount val="1"/>
                <c:pt idx="0">
                  <c:v>TDPLoad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8500044666215751"/>
                  <c:y val="9.7376928493694385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'JBT13'!$D$2:$D$17</c:f>
              <c:numCache>
                <c:formatCode>General</c:formatCode>
                <c:ptCount val="16"/>
                <c:pt idx="0">
                  <c:v>184200</c:v>
                </c:pt>
                <c:pt idx="1">
                  <c:v>275500</c:v>
                </c:pt>
                <c:pt idx="2">
                  <c:v>129100</c:v>
                </c:pt>
                <c:pt idx="3">
                  <c:v>103100</c:v>
                </c:pt>
                <c:pt idx="4">
                  <c:v>60300</c:v>
                </c:pt>
                <c:pt idx="5">
                  <c:v>85100</c:v>
                </c:pt>
                <c:pt idx="6">
                  <c:v>104100</c:v>
                </c:pt>
                <c:pt idx="7">
                  <c:v>70500</c:v>
                </c:pt>
                <c:pt idx="8">
                  <c:v>149000</c:v>
                </c:pt>
                <c:pt idx="9">
                  <c:v>101500</c:v>
                </c:pt>
                <c:pt idx="10">
                  <c:v>148900</c:v>
                </c:pt>
                <c:pt idx="11">
                  <c:v>135100</c:v>
                </c:pt>
                <c:pt idx="12">
                  <c:v>78900</c:v>
                </c:pt>
                <c:pt idx="13">
                  <c:v>146700</c:v>
                </c:pt>
                <c:pt idx="14">
                  <c:v>86500</c:v>
                </c:pt>
                <c:pt idx="15">
                  <c:v>65400</c:v>
                </c:pt>
              </c:numCache>
            </c:numRef>
          </c:xVal>
          <c:yVal>
            <c:numRef>
              <c:f>'JBT13'!$I$2:$I$17</c:f>
              <c:numCache>
                <c:formatCode>General</c:formatCode>
                <c:ptCount val="16"/>
                <c:pt idx="0">
                  <c:v>7.5706200000000001E-3</c:v>
                </c:pt>
                <c:pt idx="1">
                  <c:v>9.8353499999999996E-3</c:v>
                </c:pt>
                <c:pt idx="3">
                  <c:v>0.26032749999999999</c:v>
                </c:pt>
                <c:pt idx="4">
                  <c:v>0.124821</c:v>
                </c:pt>
                <c:pt idx="5">
                  <c:v>0.19062399999999999</c:v>
                </c:pt>
                <c:pt idx="6">
                  <c:v>5.1008999999999999E-2</c:v>
                </c:pt>
                <c:pt idx="7">
                  <c:v>4.1242500000000001E-2</c:v>
                </c:pt>
                <c:pt idx="8">
                  <c:v>3.2481999999999997E-2</c:v>
                </c:pt>
                <c:pt idx="9">
                  <c:v>1.3905499999999999E-2</c:v>
                </c:pt>
                <c:pt idx="10">
                  <c:v>2.1292700000000001E-2</c:v>
                </c:pt>
                <c:pt idx="11">
                  <c:v>9.5245499999999997E-3</c:v>
                </c:pt>
                <c:pt idx="12">
                  <c:v>1.5069900000000001E-2</c:v>
                </c:pt>
                <c:pt idx="13">
                  <c:v>1.390716E-2</c:v>
                </c:pt>
                <c:pt idx="14">
                  <c:v>1.0207000000000001E-2</c:v>
                </c:pt>
                <c:pt idx="15">
                  <c:v>1.22298E-3</c:v>
                </c:pt>
              </c:numCache>
            </c:numRef>
          </c:yVal>
          <c:smooth val="0"/>
        </c:ser>
        <c:dLbls>
          <c:showLegendKey val="0"/>
          <c:showVal val="0"/>
          <c:showCatName val="0"/>
          <c:showSerName val="0"/>
          <c:showPercent val="0"/>
          <c:showBubbleSize val="0"/>
        </c:dLbls>
        <c:axId val="634743256"/>
        <c:axId val="634743648"/>
      </c:scatterChart>
      <c:valAx>
        <c:axId val="6347432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3648"/>
        <c:crosses val="autoZero"/>
        <c:crossBetween val="midCat"/>
      </c:valAx>
      <c:valAx>
        <c:axId val="634743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32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TNLoad </a:t>
            </a:r>
            <a:r>
              <a:rPr lang="en-US" baseline="0"/>
              <a:t> VS Event Q</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'JBT13'!$J$1</c:f>
              <c:strCache>
                <c:ptCount val="1"/>
                <c:pt idx="0">
                  <c:v>TN Load (Kg)</c:v>
                </c:pt>
              </c:strCache>
            </c:strRef>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0766900300628818"/>
                  <c:y val="-7.685262746412018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'JBT13'!$D$2:$D$17</c:f>
              <c:numCache>
                <c:formatCode>General</c:formatCode>
                <c:ptCount val="16"/>
                <c:pt idx="0">
                  <c:v>184200</c:v>
                </c:pt>
                <c:pt idx="1">
                  <c:v>275500</c:v>
                </c:pt>
                <c:pt idx="2">
                  <c:v>129100</c:v>
                </c:pt>
                <c:pt idx="3">
                  <c:v>103100</c:v>
                </c:pt>
                <c:pt idx="4">
                  <c:v>60300</c:v>
                </c:pt>
                <c:pt idx="5">
                  <c:v>85100</c:v>
                </c:pt>
                <c:pt idx="6">
                  <c:v>104100</c:v>
                </c:pt>
                <c:pt idx="7">
                  <c:v>70500</c:v>
                </c:pt>
                <c:pt idx="8">
                  <c:v>149000</c:v>
                </c:pt>
                <c:pt idx="9">
                  <c:v>101500</c:v>
                </c:pt>
                <c:pt idx="10">
                  <c:v>148900</c:v>
                </c:pt>
                <c:pt idx="11">
                  <c:v>135100</c:v>
                </c:pt>
                <c:pt idx="12">
                  <c:v>78900</c:v>
                </c:pt>
                <c:pt idx="13">
                  <c:v>146700</c:v>
                </c:pt>
                <c:pt idx="14">
                  <c:v>86500</c:v>
                </c:pt>
                <c:pt idx="15">
                  <c:v>65400</c:v>
                </c:pt>
              </c:numCache>
            </c:numRef>
          </c:xVal>
          <c:yVal>
            <c:numRef>
              <c:f>'JBT13'!$J$2:$J$17</c:f>
              <c:numCache>
                <c:formatCode>General</c:formatCode>
                <c:ptCount val="16"/>
                <c:pt idx="0">
                  <c:v>0.96704999999999997</c:v>
                </c:pt>
                <c:pt idx="1">
                  <c:v>1.68055</c:v>
                </c:pt>
                <c:pt idx="2">
                  <c:v>28.041810999999999</c:v>
                </c:pt>
                <c:pt idx="3">
                  <c:v>1.77332</c:v>
                </c:pt>
                <c:pt idx="4">
                  <c:v>0.849024</c:v>
                </c:pt>
                <c:pt idx="5">
                  <c:v>1.6237079999999999</c:v>
                </c:pt>
                <c:pt idx="6">
                  <c:v>0.829677</c:v>
                </c:pt>
                <c:pt idx="7">
                  <c:v>0.63027</c:v>
                </c:pt>
                <c:pt idx="8">
                  <c:v>3.2526700000000002</c:v>
                </c:pt>
                <c:pt idx="9">
                  <c:v>1.290065</c:v>
                </c:pt>
                <c:pt idx="10">
                  <c:v>4.298743</c:v>
                </c:pt>
                <c:pt idx="11">
                  <c:v>1.8954530000000001</c:v>
                </c:pt>
                <c:pt idx="12">
                  <c:v>0.95863500000000001</c:v>
                </c:pt>
                <c:pt idx="13">
                  <c:v>2.4894989999999999</c:v>
                </c:pt>
                <c:pt idx="14">
                  <c:v>0.88229999999999997</c:v>
                </c:pt>
                <c:pt idx="15">
                  <c:v>3.7932E-2</c:v>
                </c:pt>
              </c:numCache>
            </c:numRef>
          </c:yVal>
          <c:smooth val="0"/>
        </c:ser>
        <c:dLbls>
          <c:showLegendKey val="0"/>
          <c:showVal val="0"/>
          <c:showCatName val="0"/>
          <c:showSerName val="0"/>
          <c:showPercent val="0"/>
          <c:showBubbleSize val="0"/>
        </c:dLbls>
        <c:axId val="634744432"/>
        <c:axId val="634744824"/>
      </c:scatterChart>
      <c:valAx>
        <c:axId val="6347444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4824"/>
        <c:crosses val="autoZero"/>
        <c:crossBetween val="midCat"/>
      </c:valAx>
      <c:valAx>
        <c:axId val="6347448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74443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57.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63.xml"/><Relationship Id="rId2" Type="http://schemas.openxmlformats.org/officeDocument/2006/relationships/chart" Target="../charts/chart62.xml"/><Relationship Id="rId1" Type="http://schemas.openxmlformats.org/officeDocument/2006/relationships/chart" Target="../charts/chart61.xml"/><Relationship Id="rId6" Type="http://schemas.openxmlformats.org/officeDocument/2006/relationships/chart" Target="../charts/chart66.xml"/><Relationship Id="rId5" Type="http://schemas.openxmlformats.org/officeDocument/2006/relationships/chart" Target="../charts/chart65.xml"/><Relationship Id="rId4" Type="http://schemas.openxmlformats.org/officeDocument/2006/relationships/chart" Target="../charts/chart64.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69.xml"/><Relationship Id="rId2" Type="http://schemas.openxmlformats.org/officeDocument/2006/relationships/chart" Target="../charts/chart68.xml"/><Relationship Id="rId1" Type="http://schemas.openxmlformats.org/officeDocument/2006/relationships/chart" Target="../charts/chart67.xml"/><Relationship Id="rId6" Type="http://schemas.openxmlformats.org/officeDocument/2006/relationships/chart" Target="../charts/chart72.xml"/><Relationship Id="rId5" Type="http://schemas.openxmlformats.org/officeDocument/2006/relationships/chart" Target="../charts/chart71.xml"/><Relationship Id="rId4" Type="http://schemas.openxmlformats.org/officeDocument/2006/relationships/chart" Target="../charts/chart70.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75.xml"/><Relationship Id="rId2" Type="http://schemas.openxmlformats.org/officeDocument/2006/relationships/chart" Target="../charts/chart74.xml"/><Relationship Id="rId1" Type="http://schemas.openxmlformats.org/officeDocument/2006/relationships/chart" Target="../charts/chart73.xml"/><Relationship Id="rId6" Type="http://schemas.openxmlformats.org/officeDocument/2006/relationships/chart" Target="../charts/chart78.xml"/><Relationship Id="rId5" Type="http://schemas.openxmlformats.org/officeDocument/2006/relationships/chart" Target="../charts/chart77.xml"/><Relationship Id="rId4" Type="http://schemas.openxmlformats.org/officeDocument/2006/relationships/chart" Target="../charts/chart76.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81.xml"/><Relationship Id="rId2" Type="http://schemas.openxmlformats.org/officeDocument/2006/relationships/chart" Target="../charts/chart80.xml"/><Relationship Id="rId1" Type="http://schemas.openxmlformats.org/officeDocument/2006/relationships/chart" Target="../charts/chart79.xml"/><Relationship Id="rId6" Type="http://schemas.openxmlformats.org/officeDocument/2006/relationships/chart" Target="../charts/chart84.xml"/><Relationship Id="rId5" Type="http://schemas.openxmlformats.org/officeDocument/2006/relationships/chart" Target="../charts/chart83.xml"/><Relationship Id="rId4" Type="http://schemas.openxmlformats.org/officeDocument/2006/relationships/chart" Target="../charts/chart82.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87.xml"/><Relationship Id="rId2" Type="http://schemas.openxmlformats.org/officeDocument/2006/relationships/chart" Target="../charts/chart86.xml"/><Relationship Id="rId1" Type="http://schemas.openxmlformats.org/officeDocument/2006/relationships/chart" Target="../charts/chart85.xml"/><Relationship Id="rId6" Type="http://schemas.openxmlformats.org/officeDocument/2006/relationships/chart" Target="../charts/chart90.xml"/><Relationship Id="rId5" Type="http://schemas.openxmlformats.org/officeDocument/2006/relationships/chart" Target="../charts/chart89.xml"/><Relationship Id="rId4" Type="http://schemas.openxmlformats.org/officeDocument/2006/relationships/chart" Target="../charts/chart88.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93.xml"/><Relationship Id="rId2" Type="http://schemas.openxmlformats.org/officeDocument/2006/relationships/chart" Target="../charts/chart92.xml"/><Relationship Id="rId1" Type="http://schemas.openxmlformats.org/officeDocument/2006/relationships/chart" Target="../charts/chart91.xml"/><Relationship Id="rId6" Type="http://schemas.openxmlformats.org/officeDocument/2006/relationships/chart" Target="../charts/chart96.xml"/><Relationship Id="rId5" Type="http://schemas.openxmlformats.org/officeDocument/2006/relationships/chart" Target="../charts/chart95.xml"/><Relationship Id="rId4" Type="http://schemas.openxmlformats.org/officeDocument/2006/relationships/chart" Target="../charts/chart94.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99.xml"/><Relationship Id="rId2" Type="http://schemas.openxmlformats.org/officeDocument/2006/relationships/chart" Target="../charts/chart98.xml"/><Relationship Id="rId1" Type="http://schemas.openxmlformats.org/officeDocument/2006/relationships/chart" Target="../charts/chart97.xml"/><Relationship Id="rId6" Type="http://schemas.openxmlformats.org/officeDocument/2006/relationships/chart" Target="../charts/chart102.xml"/><Relationship Id="rId5" Type="http://schemas.openxmlformats.org/officeDocument/2006/relationships/chart" Target="../charts/chart101.xml"/><Relationship Id="rId4" Type="http://schemas.openxmlformats.org/officeDocument/2006/relationships/chart" Target="../charts/chart100.xml"/></Relationships>
</file>

<file path=xl/drawings/_rels/drawing18.xml.rels><?xml version="1.0" encoding="UTF-8" standalone="yes"?>
<Relationships xmlns="http://schemas.openxmlformats.org/package/2006/relationships"><Relationship Id="rId3" Type="http://schemas.openxmlformats.org/officeDocument/2006/relationships/chart" Target="../charts/chart105.xml"/><Relationship Id="rId2" Type="http://schemas.openxmlformats.org/officeDocument/2006/relationships/chart" Target="../charts/chart104.xml"/><Relationship Id="rId1" Type="http://schemas.openxmlformats.org/officeDocument/2006/relationships/chart" Target="../charts/chart103.xml"/><Relationship Id="rId6" Type="http://schemas.openxmlformats.org/officeDocument/2006/relationships/chart" Target="../charts/chart108.xml"/><Relationship Id="rId5" Type="http://schemas.openxmlformats.org/officeDocument/2006/relationships/chart" Target="../charts/chart107.xml"/><Relationship Id="rId4" Type="http://schemas.openxmlformats.org/officeDocument/2006/relationships/chart" Target="../charts/chart106.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_rels/drawing7.xml.rels><?xml version="1.0" encoding="UTF-8" standalone="yes"?>
<Relationships xmlns="http://schemas.openxmlformats.org/package/2006/relationships"><Relationship Id="rId3" Type="http://schemas.openxmlformats.org/officeDocument/2006/relationships/chart" Target="../charts/chart39.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s>
</file>

<file path=xl/drawings/_rels/drawing8.xml.rels><?xml version="1.0" encoding="UTF-8" standalone="yes"?>
<Relationships xmlns="http://schemas.openxmlformats.org/package/2006/relationships"><Relationship Id="rId3" Type="http://schemas.openxmlformats.org/officeDocument/2006/relationships/chart" Target="../charts/chart45.xml"/><Relationship Id="rId2" Type="http://schemas.openxmlformats.org/officeDocument/2006/relationships/chart" Target="../charts/chart44.xml"/><Relationship Id="rId1" Type="http://schemas.openxmlformats.org/officeDocument/2006/relationships/chart" Target="../charts/chart43.xml"/><Relationship Id="rId6" Type="http://schemas.openxmlformats.org/officeDocument/2006/relationships/chart" Target="../charts/chart48.xml"/><Relationship Id="rId5" Type="http://schemas.openxmlformats.org/officeDocument/2006/relationships/chart" Target="../charts/chart47.xml"/><Relationship Id="rId4" Type="http://schemas.openxmlformats.org/officeDocument/2006/relationships/chart" Target="../charts/chart46.xml"/></Relationships>
</file>

<file path=xl/drawings/_rels/drawing9.xml.rels><?xml version="1.0" encoding="UTF-8" standalone="yes"?>
<Relationships xmlns="http://schemas.openxmlformats.org/package/2006/relationships"><Relationship Id="rId3" Type="http://schemas.openxmlformats.org/officeDocument/2006/relationships/chart" Target="../charts/chart51.xml"/><Relationship Id="rId2" Type="http://schemas.openxmlformats.org/officeDocument/2006/relationships/chart" Target="../charts/chart50.xml"/><Relationship Id="rId1" Type="http://schemas.openxmlformats.org/officeDocument/2006/relationships/chart" Target="../charts/chart49.xml"/><Relationship Id="rId6" Type="http://schemas.openxmlformats.org/officeDocument/2006/relationships/chart" Target="../charts/chart54.xml"/><Relationship Id="rId5" Type="http://schemas.openxmlformats.org/officeDocument/2006/relationships/chart" Target="../charts/chart53.xml"/><Relationship Id="rId4" Type="http://schemas.openxmlformats.org/officeDocument/2006/relationships/chart" Target="../charts/chart52.xml"/></Relationships>
</file>

<file path=xl/drawings/drawing1.xml><?xml version="1.0" encoding="utf-8"?>
<xdr:wsDr xmlns:xdr="http://schemas.openxmlformats.org/drawingml/2006/spreadsheetDrawing" xmlns:a="http://schemas.openxmlformats.org/drawingml/2006/main">
  <xdr:twoCellAnchor>
    <xdr:from>
      <xdr:col>8</xdr:col>
      <xdr:colOff>541020</xdr:colOff>
      <xdr:row>1</xdr:row>
      <xdr:rowOff>217170</xdr:rowOff>
    </xdr:from>
    <xdr:to>
      <xdr:col>16</xdr:col>
      <xdr:colOff>236220</xdr:colOff>
      <xdr:row>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495300</xdr:colOff>
      <xdr:row>6</xdr:row>
      <xdr:rowOff>0</xdr:rowOff>
    </xdr:from>
    <xdr:to>
      <xdr:col>16</xdr:col>
      <xdr:colOff>190500</xdr:colOff>
      <xdr:row>9</xdr:row>
      <xdr:rowOff>327660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495300</xdr:colOff>
      <xdr:row>9</xdr:row>
      <xdr:rowOff>403860</xdr:rowOff>
    </xdr:from>
    <xdr:to>
      <xdr:col>16</xdr:col>
      <xdr:colOff>190500</xdr:colOff>
      <xdr:row>14</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251460</xdr:colOff>
      <xdr:row>1</xdr:row>
      <xdr:rowOff>205740</xdr:rowOff>
    </xdr:from>
    <xdr:to>
      <xdr:col>23</xdr:col>
      <xdr:colOff>556260</xdr:colOff>
      <xdr:row>5</xdr:row>
      <xdr:rowOff>537210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297180</xdr:colOff>
      <xdr:row>6</xdr:row>
      <xdr:rowOff>114300</xdr:rowOff>
    </xdr:from>
    <xdr:to>
      <xdr:col>23</xdr:col>
      <xdr:colOff>601980</xdr:colOff>
      <xdr:row>9</xdr:row>
      <xdr:rowOff>441960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297180</xdr:colOff>
      <xdr:row>9</xdr:row>
      <xdr:rowOff>487680</xdr:rowOff>
    </xdr:from>
    <xdr:to>
      <xdr:col>23</xdr:col>
      <xdr:colOff>601980</xdr:colOff>
      <xdr:row>14</xdr:row>
      <xdr:rowOff>83820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13</xdr:row>
      <xdr:rowOff>163286</xdr:rowOff>
    </xdr:from>
    <xdr:to>
      <xdr:col>4</xdr:col>
      <xdr:colOff>914400</xdr:colOff>
      <xdr:row>27</xdr:row>
      <xdr:rowOff>108857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185057</xdr:colOff>
      <xdr:row>26</xdr:row>
      <xdr:rowOff>128996</xdr:rowOff>
    </xdr:from>
    <xdr:to>
      <xdr:col>4</xdr:col>
      <xdr:colOff>247106</xdr:colOff>
      <xdr:row>41</xdr:row>
      <xdr:rowOff>128995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85453</xdr:rowOff>
    </xdr:from>
    <xdr:to>
      <xdr:col>4</xdr:col>
      <xdr:colOff>62049</xdr:colOff>
      <xdr:row>56</xdr:row>
      <xdr:rowOff>85453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366849</xdr:colOff>
      <xdr:row>15</xdr:row>
      <xdr:rowOff>21772</xdr:rowOff>
    </xdr:from>
    <xdr:to>
      <xdr:col>9</xdr:col>
      <xdr:colOff>315686</xdr:colOff>
      <xdr:row>27</xdr:row>
      <xdr:rowOff>138793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382089</xdr:colOff>
      <xdr:row>28</xdr:row>
      <xdr:rowOff>1633</xdr:rowOff>
    </xdr:from>
    <xdr:to>
      <xdr:col>9</xdr:col>
      <xdr:colOff>338546</xdr:colOff>
      <xdr:row>45</xdr:row>
      <xdr:rowOff>1633</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222069</xdr:colOff>
      <xdr:row>41</xdr:row>
      <xdr:rowOff>85453</xdr:rowOff>
    </xdr:from>
    <xdr:to>
      <xdr:col>9</xdr:col>
      <xdr:colOff>544286</xdr:colOff>
      <xdr:row>56</xdr:row>
      <xdr:rowOff>85453</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8</xdr:col>
      <xdr:colOff>541020</xdr:colOff>
      <xdr:row>0</xdr:row>
      <xdr:rowOff>76200</xdr:rowOff>
    </xdr:from>
    <xdr:to>
      <xdr:col>16</xdr:col>
      <xdr:colOff>99060</xdr:colOff>
      <xdr:row>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495300</xdr:colOff>
      <xdr:row>5</xdr:row>
      <xdr:rowOff>0</xdr:rowOff>
    </xdr:from>
    <xdr:to>
      <xdr:col>16</xdr:col>
      <xdr:colOff>220980</xdr:colOff>
      <xdr:row>9</xdr:row>
      <xdr:rowOff>274320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396240</xdr:colOff>
      <xdr:row>9</xdr:row>
      <xdr:rowOff>594360</xdr:rowOff>
    </xdr:from>
    <xdr:to>
      <xdr:col>16</xdr:col>
      <xdr:colOff>289560</xdr:colOff>
      <xdr:row>14</xdr:row>
      <xdr:rowOff>99060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281940</xdr:colOff>
      <xdr:row>0</xdr:row>
      <xdr:rowOff>114300</xdr:rowOff>
    </xdr:from>
    <xdr:to>
      <xdr:col>23</xdr:col>
      <xdr:colOff>594360</xdr:colOff>
      <xdr:row>5</xdr:row>
      <xdr:rowOff>11430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419100</xdr:colOff>
      <xdr:row>5</xdr:row>
      <xdr:rowOff>30480</xdr:rowOff>
    </xdr:from>
    <xdr:to>
      <xdr:col>24</xdr:col>
      <xdr:colOff>236220</xdr:colOff>
      <xdr:row>9</xdr:row>
      <xdr:rowOff>274320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449580</xdr:colOff>
      <xdr:row>9</xdr:row>
      <xdr:rowOff>548640</xdr:rowOff>
    </xdr:from>
    <xdr:to>
      <xdr:col>24</xdr:col>
      <xdr:colOff>213360</xdr:colOff>
      <xdr:row>14</xdr:row>
      <xdr:rowOff>83820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170361</xdr:colOff>
      <xdr:row>14</xdr:row>
      <xdr:rowOff>76200</xdr:rowOff>
    </xdr:from>
    <xdr:to>
      <xdr:col>4</xdr:col>
      <xdr:colOff>947058</xdr:colOff>
      <xdr:row>29</xdr:row>
      <xdr:rowOff>43543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145868</xdr:colOff>
      <xdr:row>30</xdr:row>
      <xdr:rowOff>31024</xdr:rowOff>
    </xdr:from>
    <xdr:to>
      <xdr:col>4</xdr:col>
      <xdr:colOff>817517</xdr:colOff>
      <xdr:row>45</xdr:row>
      <xdr:rowOff>31024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276497</xdr:colOff>
      <xdr:row>45</xdr:row>
      <xdr:rowOff>74568</xdr:rowOff>
    </xdr:from>
    <xdr:to>
      <xdr:col>4</xdr:col>
      <xdr:colOff>948146</xdr:colOff>
      <xdr:row>60</xdr:row>
      <xdr:rowOff>74567</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99060</xdr:colOff>
      <xdr:row>13</xdr:row>
      <xdr:rowOff>160563</xdr:rowOff>
    </xdr:from>
    <xdr:to>
      <xdr:col>10</xdr:col>
      <xdr:colOff>1088572</xdr:colOff>
      <xdr:row>28</xdr:row>
      <xdr:rowOff>152400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5442</xdr:colOff>
      <xdr:row>30</xdr:row>
      <xdr:rowOff>54429</xdr:rowOff>
    </xdr:from>
    <xdr:to>
      <xdr:col>10</xdr:col>
      <xdr:colOff>729343</xdr:colOff>
      <xdr:row>46</xdr:row>
      <xdr:rowOff>99603</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52252</xdr:colOff>
      <xdr:row>45</xdr:row>
      <xdr:rowOff>32659</xdr:rowOff>
    </xdr:from>
    <xdr:to>
      <xdr:col>9</xdr:col>
      <xdr:colOff>598715</xdr:colOff>
      <xdr:row>61</xdr:row>
      <xdr:rowOff>139882</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8</xdr:col>
      <xdr:colOff>541020</xdr:colOff>
      <xdr:row>0</xdr:row>
      <xdr:rowOff>76200</xdr:rowOff>
    </xdr:from>
    <xdr:to>
      <xdr:col>16</xdr:col>
      <xdr:colOff>99060</xdr:colOff>
      <xdr:row>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495300</xdr:colOff>
      <xdr:row>5</xdr:row>
      <xdr:rowOff>0</xdr:rowOff>
    </xdr:from>
    <xdr:to>
      <xdr:col>16</xdr:col>
      <xdr:colOff>220980</xdr:colOff>
      <xdr:row>8</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396240</xdr:colOff>
      <xdr:row>8</xdr:row>
      <xdr:rowOff>0</xdr:rowOff>
    </xdr:from>
    <xdr:to>
      <xdr:col>16</xdr:col>
      <xdr:colOff>289560</xdr:colOff>
      <xdr:row>12</xdr:row>
      <xdr:rowOff>99060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281940</xdr:colOff>
      <xdr:row>0</xdr:row>
      <xdr:rowOff>114300</xdr:rowOff>
    </xdr:from>
    <xdr:to>
      <xdr:col>23</xdr:col>
      <xdr:colOff>594360</xdr:colOff>
      <xdr:row>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419100</xdr:colOff>
      <xdr:row>5</xdr:row>
      <xdr:rowOff>0</xdr:rowOff>
    </xdr:from>
    <xdr:to>
      <xdr:col>24</xdr:col>
      <xdr:colOff>236220</xdr:colOff>
      <xdr:row>8</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449580</xdr:colOff>
      <xdr:row>8</xdr:row>
      <xdr:rowOff>0</xdr:rowOff>
    </xdr:from>
    <xdr:to>
      <xdr:col>24</xdr:col>
      <xdr:colOff>213360</xdr:colOff>
      <xdr:row>12</xdr:row>
      <xdr:rowOff>83820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170361</xdr:colOff>
      <xdr:row>15</xdr:row>
      <xdr:rowOff>119743</xdr:rowOff>
    </xdr:from>
    <xdr:to>
      <xdr:col>4</xdr:col>
      <xdr:colOff>947058</xdr:colOff>
      <xdr:row>30</xdr:row>
      <xdr:rowOff>87086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145868</xdr:colOff>
      <xdr:row>30</xdr:row>
      <xdr:rowOff>31024</xdr:rowOff>
    </xdr:from>
    <xdr:to>
      <xdr:col>4</xdr:col>
      <xdr:colOff>817517</xdr:colOff>
      <xdr:row>45</xdr:row>
      <xdr:rowOff>31024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276497</xdr:colOff>
      <xdr:row>45</xdr:row>
      <xdr:rowOff>74568</xdr:rowOff>
    </xdr:from>
    <xdr:to>
      <xdr:col>4</xdr:col>
      <xdr:colOff>948146</xdr:colOff>
      <xdr:row>60</xdr:row>
      <xdr:rowOff>74567</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131717</xdr:colOff>
      <xdr:row>15</xdr:row>
      <xdr:rowOff>95249</xdr:rowOff>
    </xdr:from>
    <xdr:to>
      <xdr:col>10</xdr:col>
      <xdr:colOff>1121229</xdr:colOff>
      <xdr:row>30</xdr:row>
      <xdr:rowOff>87086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52252</xdr:colOff>
      <xdr:row>45</xdr:row>
      <xdr:rowOff>32659</xdr:rowOff>
    </xdr:from>
    <xdr:to>
      <xdr:col>9</xdr:col>
      <xdr:colOff>598715</xdr:colOff>
      <xdr:row>61</xdr:row>
      <xdr:rowOff>139882</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250371</xdr:colOff>
      <xdr:row>30</xdr:row>
      <xdr:rowOff>10886</xdr:rowOff>
    </xdr:from>
    <xdr:to>
      <xdr:col>10</xdr:col>
      <xdr:colOff>849086</xdr:colOff>
      <xdr:row>45</xdr:row>
      <xdr:rowOff>97971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8</xdr:col>
      <xdr:colOff>472440</xdr:colOff>
      <xdr:row>1</xdr:row>
      <xdr:rowOff>57150</xdr:rowOff>
    </xdr:from>
    <xdr:to>
      <xdr:col>16</xdr:col>
      <xdr:colOff>167640</xdr:colOff>
      <xdr:row>6</xdr:row>
      <xdr:rowOff>57150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495300</xdr:colOff>
      <xdr:row>6</xdr:row>
      <xdr:rowOff>144780</xdr:rowOff>
    </xdr:from>
    <xdr:to>
      <xdr:col>16</xdr:col>
      <xdr:colOff>190500</xdr:colOff>
      <xdr:row>10</xdr:row>
      <xdr:rowOff>327660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495300</xdr:colOff>
      <xdr:row>10</xdr:row>
      <xdr:rowOff>403860</xdr:rowOff>
    </xdr:from>
    <xdr:to>
      <xdr:col>16</xdr:col>
      <xdr:colOff>190500</xdr:colOff>
      <xdr:row>15</xdr:row>
      <xdr:rowOff>403860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304800</xdr:colOff>
      <xdr:row>1</xdr:row>
      <xdr:rowOff>68580</xdr:rowOff>
    </xdr:from>
    <xdr:to>
      <xdr:col>24</xdr:col>
      <xdr:colOff>0</xdr:colOff>
      <xdr:row>6</xdr:row>
      <xdr:rowOff>68580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220980</xdr:colOff>
      <xdr:row>6</xdr:row>
      <xdr:rowOff>106680</xdr:rowOff>
    </xdr:from>
    <xdr:to>
      <xdr:col>23</xdr:col>
      <xdr:colOff>525780</xdr:colOff>
      <xdr:row>10</xdr:row>
      <xdr:rowOff>289560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190500</xdr:colOff>
      <xdr:row>10</xdr:row>
      <xdr:rowOff>358140</xdr:rowOff>
    </xdr:from>
    <xdr:to>
      <xdr:col>23</xdr:col>
      <xdr:colOff>495300</xdr:colOff>
      <xdr:row>15</xdr:row>
      <xdr:rowOff>358140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15</xdr:row>
      <xdr:rowOff>137160</xdr:rowOff>
    </xdr:from>
    <xdr:to>
      <xdr:col>4</xdr:col>
      <xdr:colOff>845820</xdr:colOff>
      <xdr:row>30</xdr:row>
      <xdr:rowOff>137160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31</xdr:row>
      <xdr:rowOff>15240</xdr:rowOff>
    </xdr:from>
    <xdr:to>
      <xdr:col>4</xdr:col>
      <xdr:colOff>864870</xdr:colOff>
      <xdr:row>46</xdr:row>
      <xdr:rowOff>15240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19050</xdr:colOff>
      <xdr:row>46</xdr:row>
      <xdr:rowOff>121920</xdr:rowOff>
    </xdr:from>
    <xdr:to>
      <xdr:col>4</xdr:col>
      <xdr:colOff>864870</xdr:colOff>
      <xdr:row>61</xdr:row>
      <xdr:rowOff>121920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11430</xdr:colOff>
      <xdr:row>15</xdr:row>
      <xdr:rowOff>137160</xdr:rowOff>
    </xdr:from>
    <xdr:to>
      <xdr:col>11</xdr:col>
      <xdr:colOff>133350</xdr:colOff>
      <xdr:row>30</xdr:row>
      <xdr:rowOff>137160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49530</xdr:colOff>
      <xdr:row>31</xdr:row>
      <xdr:rowOff>15240</xdr:rowOff>
    </xdr:from>
    <xdr:to>
      <xdr:col>11</xdr:col>
      <xdr:colOff>171450</xdr:colOff>
      <xdr:row>46</xdr:row>
      <xdr:rowOff>15240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3810</xdr:colOff>
      <xdr:row>46</xdr:row>
      <xdr:rowOff>106680</xdr:rowOff>
    </xdr:from>
    <xdr:to>
      <xdr:col>11</xdr:col>
      <xdr:colOff>125730</xdr:colOff>
      <xdr:row>61</xdr:row>
      <xdr:rowOff>106680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9</xdr:col>
      <xdr:colOff>541020</xdr:colOff>
      <xdr:row>0</xdr:row>
      <xdr:rowOff>76200</xdr:rowOff>
    </xdr:from>
    <xdr:to>
      <xdr:col>17</xdr:col>
      <xdr:colOff>99060</xdr:colOff>
      <xdr:row>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495300</xdr:colOff>
      <xdr:row>5</xdr:row>
      <xdr:rowOff>0</xdr:rowOff>
    </xdr:from>
    <xdr:to>
      <xdr:col>17</xdr:col>
      <xdr:colOff>220980</xdr:colOff>
      <xdr:row>8</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396240</xdr:colOff>
      <xdr:row>8</xdr:row>
      <xdr:rowOff>0</xdr:rowOff>
    </xdr:from>
    <xdr:to>
      <xdr:col>17</xdr:col>
      <xdr:colOff>289560</xdr:colOff>
      <xdr:row>12</xdr:row>
      <xdr:rowOff>99060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281940</xdr:colOff>
      <xdr:row>0</xdr:row>
      <xdr:rowOff>114300</xdr:rowOff>
    </xdr:from>
    <xdr:to>
      <xdr:col>24</xdr:col>
      <xdr:colOff>594360</xdr:colOff>
      <xdr:row>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419100</xdr:colOff>
      <xdr:row>5</xdr:row>
      <xdr:rowOff>0</xdr:rowOff>
    </xdr:from>
    <xdr:to>
      <xdr:col>25</xdr:col>
      <xdr:colOff>236220</xdr:colOff>
      <xdr:row>8</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449580</xdr:colOff>
      <xdr:row>8</xdr:row>
      <xdr:rowOff>0</xdr:rowOff>
    </xdr:from>
    <xdr:to>
      <xdr:col>25</xdr:col>
      <xdr:colOff>213360</xdr:colOff>
      <xdr:row>12</xdr:row>
      <xdr:rowOff>83820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170361</xdr:colOff>
      <xdr:row>15</xdr:row>
      <xdr:rowOff>119743</xdr:rowOff>
    </xdr:from>
    <xdr:to>
      <xdr:col>4</xdr:col>
      <xdr:colOff>947058</xdr:colOff>
      <xdr:row>30</xdr:row>
      <xdr:rowOff>87086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145868</xdr:colOff>
      <xdr:row>30</xdr:row>
      <xdr:rowOff>31024</xdr:rowOff>
    </xdr:from>
    <xdr:to>
      <xdr:col>4</xdr:col>
      <xdr:colOff>817517</xdr:colOff>
      <xdr:row>45</xdr:row>
      <xdr:rowOff>31024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276497</xdr:colOff>
      <xdr:row>45</xdr:row>
      <xdr:rowOff>74568</xdr:rowOff>
    </xdr:from>
    <xdr:to>
      <xdr:col>4</xdr:col>
      <xdr:colOff>948146</xdr:colOff>
      <xdr:row>60</xdr:row>
      <xdr:rowOff>74567</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131717</xdr:colOff>
      <xdr:row>15</xdr:row>
      <xdr:rowOff>95249</xdr:rowOff>
    </xdr:from>
    <xdr:to>
      <xdr:col>10</xdr:col>
      <xdr:colOff>1121229</xdr:colOff>
      <xdr:row>30</xdr:row>
      <xdr:rowOff>87086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52252</xdr:colOff>
      <xdr:row>45</xdr:row>
      <xdr:rowOff>32659</xdr:rowOff>
    </xdr:from>
    <xdr:to>
      <xdr:col>9</xdr:col>
      <xdr:colOff>598715</xdr:colOff>
      <xdr:row>61</xdr:row>
      <xdr:rowOff>139882</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1001485</xdr:colOff>
      <xdr:row>32</xdr:row>
      <xdr:rowOff>-1</xdr:rowOff>
    </xdr:from>
    <xdr:to>
      <xdr:col>10</xdr:col>
      <xdr:colOff>2100942</xdr:colOff>
      <xdr:row>52</xdr:row>
      <xdr:rowOff>119742</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87630</xdr:colOff>
      <xdr:row>14</xdr:row>
      <xdr:rowOff>174171</xdr:rowOff>
    </xdr:from>
    <xdr:to>
      <xdr:col>4</xdr:col>
      <xdr:colOff>560070</xdr:colOff>
      <xdr:row>32</xdr:row>
      <xdr:rowOff>174171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33</xdr:row>
      <xdr:rowOff>107224</xdr:rowOff>
    </xdr:from>
    <xdr:to>
      <xdr:col>4</xdr:col>
      <xdr:colOff>472440</xdr:colOff>
      <xdr:row>51</xdr:row>
      <xdr:rowOff>107224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51</xdr:row>
      <xdr:rowOff>122464</xdr:rowOff>
    </xdr:from>
    <xdr:to>
      <xdr:col>4</xdr:col>
      <xdr:colOff>472440</xdr:colOff>
      <xdr:row>69</xdr:row>
      <xdr:rowOff>122464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754381</xdr:colOff>
      <xdr:row>15</xdr:row>
      <xdr:rowOff>0</xdr:rowOff>
    </xdr:from>
    <xdr:to>
      <xdr:col>10</xdr:col>
      <xdr:colOff>114301</xdr:colOff>
      <xdr:row>33</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594361</xdr:colOff>
      <xdr:row>33</xdr:row>
      <xdr:rowOff>91440</xdr:rowOff>
    </xdr:from>
    <xdr:to>
      <xdr:col>9</xdr:col>
      <xdr:colOff>563881</xdr:colOff>
      <xdr:row>51</xdr:row>
      <xdr:rowOff>91440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548641</xdr:colOff>
      <xdr:row>51</xdr:row>
      <xdr:rowOff>91440</xdr:rowOff>
    </xdr:from>
    <xdr:to>
      <xdr:col>9</xdr:col>
      <xdr:colOff>518161</xdr:colOff>
      <xdr:row>69</xdr:row>
      <xdr:rowOff>91440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541020</xdr:colOff>
      <xdr:row>1</xdr:row>
      <xdr:rowOff>217170</xdr:rowOff>
    </xdr:from>
    <xdr:to>
      <xdr:col>17</xdr:col>
      <xdr:colOff>236220</xdr:colOff>
      <xdr:row>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495300</xdr:colOff>
      <xdr:row>6</xdr:row>
      <xdr:rowOff>0</xdr:rowOff>
    </xdr:from>
    <xdr:to>
      <xdr:col>17</xdr:col>
      <xdr:colOff>190500</xdr:colOff>
      <xdr:row>9</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495300</xdr:colOff>
      <xdr:row>9</xdr:row>
      <xdr:rowOff>0</xdr:rowOff>
    </xdr:from>
    <xdr:to>
      <xdr:col>17</xdr:col>
      <xdr:colOff>190500</xdr:colOff>
      <xdr:row>13</xdr:row>
      <xdr:rowOff>60960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213360</xdr:colOff>
      <xdr:row>1</xdr:row>
      <xdr:rowOff>220980</xdr:rowOff>
    </xdr:from>
    <xdr:to>
      <xdr:col>24</xdr:col>
      <xdr:colOff>518160</xdr:colOff>
      <xdr:row>6</xdr:row>
      <xdr:rowOff>3810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220980</xdr:colOff>
      <xdr:row>6</xdr:row>
      <xdr:rowOff>68580</xdr:rowOff>
    </xdr:from>
    <xdr:to>
      <xdr:col>24</xdr:col>
      <xdr:colOff>525780</xdr:colOff>
      <xdr:row>9</xdr:row>
      <xdr:rowOff>68580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243840</xdr:colOff>
      <xdr:row>9</xdr:row>
      <xdr:rowOff>83820</xdr:rowOff>
    </xdr:from>
    <xdr:to>
      <xdr:col>24</xdr:col>
      <xdr:colOff>548640</xdr:colOff>
      <xdr:row>13</xdr:row>
      <xdr:rowOff>7620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13</xdr:row>
      <xdr:rowOff>47625</xdr:rowOff>
    </xdr:from>
    <xdr:to>
      <xdr:col>5</xdr:col>
      <xdr:colOff>542925</xdr:colOff>
      <xdr:row>34</xdr:row>
      <xdr:rowOff>15240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60960</xdr:colOff>
      <xdr:row>34</xdr:row>
      <xdr:rowOff>72390</xdr:rowOff>
    </xdr:from>
    <xdr:to>
      <xdr:col>4</xdr:col>
      <xdr:colOff>533400</xdr:colOff>
      <xdr:row>52</xdr:row>
      <xdr:rowOff>72390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51</xdr:row>
      <xdr:rowOff>133350</xdr:rowOff>
    </xdr:from>
    <xdr:to>
      <xdr:col>4</xdr:col>
      <xdr:colOff>518160</xdr:colOff>
      <xdr:row>69</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60959</xdr:colOff>
      <xdr:row>14</xdr:row>
      <xdr:rowOff>161925</xdr:rowOff>
    </xdr:from>
    <xdr:to>
      <xdr:col>10</xdr:col>
      <xdr:colOff>2028824</xdr:colOff>
      <xdr:row>34</xdr:row>
      <xdr:rowOff>106680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647700</xdr:colOff>
      <xdr:row>34</xdr:row>
      <xdr:rowOff>49530</xdr:rowOff>
    </xdr:from>
    <xdr:to>
      <xdr:col>9</xdr:col>
      <xdr:colOff>251460</xdr:colOff>
      <xdr:row>52</xdr:row>
      <xdr:rowOff>49530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563880</xdr:colOff>
      <xdr:row>51</xdr:row>
      <xdr:rowOff>179070</xdr:rowOff>
    </xdr:from>
    <xdr:to>
      <xdr:col>9</xdr:col>
      <xdr:colOff>167640</xdr:colOff>
      <xdr:row>69</xdr:row>
      <xdr:rowOff>179070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541020</xdr:colOff>
      <xdr:row>1</xdr:row>
      <xdr:rowOff>217170</xdr:rowOff>
    </xdr:from>
    <xdr:to>
      <xdr:col>17</xdr:col>
      <xdr:colOff>236220</xdr:colOff>
      <xdr:row>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495300</xdr:colOff>
      <xdr:row>6</xdr:row>
      <xdr:rowOff>0</xdr:rowOff>
    </xdr:from>
    <xdr:to>
      <xdr:col>17</xdr:col>
      <xdr:colOff>320040</xdr:colOff>
      <xdr:row>10</xdr:row>
      <xdr:rowOff>304800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381000</xdr:colOff>
      <xdr:row>10</xdr:row>
      <xdr:rowOff>426720</xdr:rowOff>
    </xdr:from>
    <xdr:to>
      <xdr:col>17</xdr:col>
      <xdr:colOff>220980</xdr:colOff>
      <xdr:row>15</xdr:row>
      <xdr:rowOff>7620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289560</xdr:colOff>
      <xdr:row>1</xdr:row>
      <xdr:rowOff>228600</xdr:rowOff>
    </xdr:from>
    <xdr:to>
      <xdr:col>24</xdr:col>
      <xdr:colOff>594360</xdr:colOff>
      <xdr:row>6</xdr:row>
      <xdr:rowOff>11430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411480</xdr:colOff>
      <xdr:row>6</xdr:row>
      <xdr:rowOff>30480</xdr:rowOff>
    </xdr:from>
    <xdr:to>
      <xdr:col>25</xdr:col>
      <xdr:colOff>236220</xdr:colOff>
      <xdr:row>10</xdr:row>
      <xdr:rowOff>335280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289560</xdr:colOff>
      <xdr:row>10</xdr:row>
      <xdr:rowOff>403860</xdr:rowOff>
    </xdr:from>
    <xdr:to>
      <xdr:col>25</xdr:col>
      <xdr:colOff>129540</xdr:colOff>
      <xdr:row>14</xdr:row>
      <xdr:rowOff>716280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15</xdr:row>
      <xdr:rowOff>106680</xdr:rowOff>
    </xdr:from>
    <xdr:to>
      <xdr:col>4</xdr:col>
      <xdr:colOff>53340</xdr:colOff>
      <xdr:row>27</xdr:row>
      <xdr:rowOff>106680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148590</xdr:rowOff>
    </xdr:from>
    <xdr:to>
      <xdr:col>4</xdr:col>
      <xdr:colOff>74567</xdr:colOff>
      <xdr:row>42</xdr:row>
      <xdr:rowOff>148590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43</xdr:row>
      <xdr:rowOff>148590</xdr:rowOff>
    </xdr:from>
    <xdr:to>
      <xdr:col>4</xdr:col>
      <xdr:colOff>74567</xdr:colOff>
      <xdr:row>58</xdr:row>
      <xdr:rowOff>148590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379367</xdr:colOff>
      <xdr:row>18</xdr:row>
      <xdr:rowOff>19050</xdr:rowOff>
    </xdr:from>
    <xdr:to>
      <xdr:col>9</xdr:col>
      <xdr:colOff>318407</xdr:colOff>
      <xdr:row>30</xdr:row>
      <xdr:rowOff>19050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394607</xdr:colOff>
      <xdr:row>30</xdr:row>
      <xdr:rowOff>64770</xdr:rowOff>
    </xdr:from>
    <xdr:to>
      <xdr:col>9</xdr:col>
      <xdr:colOff>333647</xdr:colOff>
      <xdr:row>47</xdr:row>
      <xdr:rowOff>64770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234587</xdr:colOff>
      <xdr:row>43</xdr:row>
      <xdr:rowOff>148590</xdr:rowOff>
    </xdr:from>
    <xdr:to>
      <xdr:col>9</xdr:col>
      <xdr:colOff>539387</xdr:colOff>
      <xdr:row>58</xdr:row>
      <xdr:rowOff>148590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541020</xdr:colOff>
      <xdr:row>1</xdr:row>
      <xdr:rowOff>217170</xdr:rowOff>
    </xdr:from>
    <xdr:to>
      <xdr:col>16</xdr:col>
      <xdr:colOff>236220</xdr:colOff>
      <xdr:row>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495300</xdr:colOff>
      <xdr:row>6</xdr:row>
      <xdr:rowOff>0</xdr:rowOff>
    </xdr:from>
    <xdr:to>
      <xdr:col>16</xdr:col>
      <xdr:colOff>320040</xdr:colOff>
      <xdr:row>10</xdr:row>
      <xdr:rowOff>304800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381000</xdr:colOff>
      <xdr:row>10</xdr:row>
      <xdr:rowOff>426720</xdr:rowOff>
    </xdr:from>
    <xdr:to>
      <xdr:col>16</xdr:col>
      <xdr:colOff>220980</xdr:colOff>
      <xdr:row>15</xdr:row>
      <xdr:rowOff>190500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289560</xdr:colOff>
      <xdr:row>1</xdr:row>
      <xdr:rowOff>228600</xdr:rowOff>
    </xdr:from>
    <xdr:to>
      <xdr:col>23</xdr:col>
      <xdr:colOff>594360</xdr:colOff>
      <xdr:row>6</xdr:row>
      <xdr:rowOff>11430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411480</xdr:colOff>
      <xdr:row>6</xdr:row>
      <xdr:rowOff>30480</xdr:rowOff>
    </xdr:from>
    <xdr:to>
      <xdr:col>24</xdr:col>
      <xdr:colOff>236220</xdr:colOff>
      <xdr:row>10</xdr:row>
      <xdr:rowOff>335280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289560</xdr:colOff>
      <xdr:row>10</xdr:row>
      <xdr:rowOff>403860</xdr:rowOff>
    </xdr:from>
    <xdr:to>
      <xdr:col>24</xdr:col>
      <xdr:colOff>129540</xdr:colOff>
      <xdr:row>15</xdr:row>
      <xdr:rowOff>129540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4</xdr:col>
      <xdr:colOff>85725</xdr:colOff>
      <xdr:row>14</xdr:row>
      <xdr:rowOff>152400</xdr:rowOff>
    </xdr:from>
    <xdr:to>
      <xdr:col>9</xdr:col>
      <xdr:colOff>542653</xdr:colOff>
      <xdr:row>32</xdr:row>
      <xdr:rowOff>47625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329565</xdr:colOff>
      <xdr:row>32</xdr:row>
      <xdr:rowOff>99060</xdr:rowOff>
    </xdr:from>
    <xdr:to>
      <xdr:col>9</xdr:col>
      <xdr:colOff>280035</xdr:colOff>
      <xdr:row>47</xdr:row>
      <xdr:rowOff>99060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158115</xdr:colOff>
      <xdr:row>44</xdr:row>
      <xdr:rowOff>41910</xdr:rowOff>
    </xdr:from>
    <xdr:to>
      <xdr:col>8</xdr:col>
      <xdr:colOff>299085</xdr:colOff>
      <xdr:row>59</xdr:row>
      <xdr:rowOff>41910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581024</xdr:colOff>
      <xdr:row>13</xdr:row>
      <xdr:rowOff>76200</xdr:rowOff>
    </xdr:from>
    <xdr:to>
      <xdr:col>17</xdr:col>
      <xdr:colOff>89534</xdr:colOff>
      <xdr:row>30</xdr:row>
      <xdr:rowOff>47625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219075</xdr:colOff>
      <xdr:row>28</xdr:row>
      <xdr:rowOff>24765</xdr:rowOff>
    </xdr:from>
    <xdr:to>
      <xdr:col>16</xdr:col>
      <xdr:colOff>342900</xdr:colOff>
      <xdr:row>45</xdr:row>
      <xdr:rowOff>24765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459105</xdr:colOff>
      <xdr:row>44</xdr:row>
      <xdr:rowOff>41910</xdr:rowOff>
    </xdr:from>
    <xdr:to>
      <xdr:col>16</xdr:col>
      <xdr:colOff>148590</xdr:colOff>
      <xdr:row>59</xdr:row>
      <xdr:rowOff>41910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9</xdr:col>
      <xdr:colOff>541020</xdr:colOff>
      <xdr:row>1</xdr:row>
      <xdr:rowOff>217170</xdr:rowOff>
    </xdr:from>
    <xdr:to>
      <xdr:col>17</xdr:col>
      <xdr:colOff>236220</xdr:colOff>
      <xdr:row>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525780</xdr:colOff>
      <xdr:row>5</xdr:row>
      <xdr:rowOff>0</xdr:rowOff>
    </xdr:from>
    <xdr:to>
      <xdr:col>17</xdr:col>
      <xdr:colOff>320040</xdr:colOff>
      <xdr:row>9</xdr:row>
      <xdr:rowOff>487680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373380</xdr:colOff>
      <xdr:row>10</xdr:row>
      <xdr:rowOff>129540</xdr:rowOff>
    </xdr:from>
    <xdr:to>
      <xdr:col>17</xdr:col>
      <xdr:colOff>297180</xdr:colOff>
      <xdr:row>15</xdr:row>
      <xdr:rowOff>129540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289560</xdr:colOff>
      <xdr:row>1</xdr:row>
      <xdr:rowOff>228600</xdr:rowOff>
    </xdr:from>
    <xdr:to>
      <xdr:col>24</xdr:col>
      <xdr:colOff>594360</xdr:colOff>
      <xdr:row>5</xdr:row>
      <xdr:rowOff>11430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365760</xdr:colOff>
      <xdr:row>5</xdr:row>
      <xdr:rowOff>30480</xdr:rowOff>
    </xdr:from>
    <xdr:to>
      <xdr:col>25</xdr:col>
      <xdr:colOff>236220</xdr:colOff>
      <xdr:row>9</xdr:row>
      <xdr:rowOff>502920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381000</xdr:colOff>
      <xdr:row>10</xdr:row>
      <xdr:rowOff>106680</xdr:rowOff>
    </xdr:from>
    <xdr:to>
      <xdr:col>25</xdr:col>
      <xdr:colOff>220980</xdr:colOff>
      <xdr:row>15</xdr:row>
      <xdr:rowOff>137160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zoomScale="50" zoomScaleNormal="50" workbookViewId="0">
      <selection activeCell="X23" sqref="X23"/>
    </sheetView>
  </sheetViews>
  <sheetFormatPr defaultRowHeight="14.4" x14ac:dyDescent="0.3"/>
  <sheetData>
    <row r="1" spans="1:14" x14ac:dyDescent="0.3">
      <c r="A1" s="3" t="s">
        <v>23</v>
      </c>
      <c r="B1" s="3" t="s">
        <v>24</v>
      </c>
      <c r="C1" s="3" t="s">
        <v>25</v>
      </c>
      <c r="D1" s="3" t="s">
        <v>26</v>
      </c>
      <c r="E1" s="3" t="s">
        <v>27</v>
      </c>
      <c r="F1" s="3" t="s">
        <v>28</v>
      </c>
      <c r="G1" s="3" t="s">
        <v>29</v>
      </c>
      <c r="H1" s="3" t="s">
        <v>30</v>
      </c>
      <c r="I1" s="3" t="s">
        <v>31</v>
      </c>
      <c r="J1" s="3" t="s">
        <v>32</v>
      </c>
      <c r="K1" s="3" t="s">
        <v>33</v>
      </c>
      <c r="L1" s="3" t="s">
        <v>34</v>
      </c>
      <c r="M1" s="3" t="s">
        <v>35</v>
      </c>
      <c r="N1" s="3" t="s">
        <v>36</v>
      </c>
    </row>
    <row r="2" spans="1:14" ht="43.2" x14ac:dyDescent="0.3">
      <c r="A2" s="1" t="s">
        <v>37</v>
      </c>
      <c r="B2" s="1" t="s">
        <v>37</v>
      </c>
      <c r="C2" s="2">
        <v>142800</v>
      </c>
      <c r="D2" s="2">
        <v>805</v>
      </c>
      <c r="E2" s="2">
        <v>492</v>
      </c>
      <c r="F2" s="2">
        <v>8.58</v>
      </c>
      <c r="G2" s="2">
        <v>0.114954</v>
      </c>
      <c r="H2" s="2">
        <v>7.0257600000000003E-2</v>
      </c>
      <c r="I2" s="2">
        <v>1.2252240000000001</v>
      </c>
      <c r="J2" s="1" t="s">
        <v>1</v>
      </c>
      <c r="K2" s="1" t="s">
        <v>1</v>
      </c>
      <c r="L2" s="2">
        <v>2.3784143671531099</v>
      </c>
      <c r="M2" s="2">
        <v>5.6632956573468203</v>
      </c>
      <c r="N2" s="1" t="s">
        <v>38</v>
      </c>
    </row>
    <row r="3" spans="1:14" ht="43.2" x14ac:dyDescent="0.3">
      <c r="A3" s="1" t="s">
        <v>39</v>
      </c>
      <c r="B3" s="1" t="s">
        <v>39</v>
      </c>
      <c r="C3" s="2">
        <v>63500</v>
      </c>
      <c r="D3" s="2">
        <v>585</v>
      </c>
      <c r="E3" s="2">
        <v>120</v>
      </c>
      <c r="F3" s="2">
        <v>8.52</v>
      </c>
      <c r="G3" s="2">
        <v>3.71475E-2</v>
      </c>
      <c r="H3" s="2">
        <v>7.62E-3</v>
      </c>
      <c r="I3" s="2">
        <v>0.54101999999999995</v>
      </c>
      <c r="J3" s="1" t="s">
        <v>1</v>
      </c>
      <c r="K3" s="1" t="s">
        <v>1</v>
      </c>
      <c r="L3" s="2">
        <v>1.05762823749456</v>
      </c>
      <c r="M3" s="2">
        <v>2.5183422565933</v>
      </c>
      <c r="N3" s="1" t="s">
        <v>38</v>
      </c>
    </row>
    <row r="4" spans="1:14" ht="43.2" x14ac:dyDescent="0.3">
      <c r="A4" s="1" t="s">
        <v>40</v>
      </c>
      <c r="B4" s="1" t="s">
        <v>40</v>
      </c>
      <c r="C4" s="2">
        <v>60200</v>
      </c>
      <c r="D4" s="2">
        <v>868</v>
      </c>
      <c r="E4" s="2">
        <v>122</v>
      </c>
      <c r="F4" s="2">
        <v>7.88</v>
      </c>
      <c r="G4" s="2">
        <v>5.2253599999999997E-2</v>
      </c>
      <c r="H4" s="2">
        <v>7.3444000000000001E-3</v>
      </c>
      <c r="I4" s="2">
        <v>0.47437600000000002</v>
      </c>
      <c r="J4" s="1" t="s">
        <v>1</v>
      </c>
      <c r="K4" s="1" t="s">
        <v>1</v>
      </c>
      <c r="L4" s="2">
        <v>1.0026648802704301</v>
      </c>
      <c r="M4" s="2">
        <v>2.3874677771167998</v>
      </c>
      <c r="N4" s="1" t="s">
        <v>38</v>
      </c>
    </row>
    <row r="5" spans="1:14" ht="43.2" x14ac:dyDescent="0.3">
      <c r="A5" s="1" t="s">
        <v>41</v>
      </c>
      <c r="B5" s="1" t="s">
        <v>41</v>
      </c>
      <c r="C5" s="2">
        <v>43800</v>
      </c>
      <c r="D5" s="2">
        <v>868</v>
      </c>
      <c r="E5" s="2">
        <v>156</v>
      </c>
      <c r="F5" s="2">
        <v>8</v>
      </c>
      <c r="G5" s="2">
        <v>3.8018400000000001E-2</v>
      </c>
      <c r="H5" s="2">
        <v>6.8328E-3</v>
      </c>
      <c r="I5" s="2">
        <v>0.35039999999999999</v>
      </c>
      <c r="J5" s="1" t="s">
        <v>1</v>
      </c>
      <c r="K5" s="1" t="s">
        <v>1</v>
      </c>
      <c r="L5" s="2">
        <v>0.72951365042931604</v>
      </c>
      <c r="M5" s="2">
        <v>1.7370612730517501</v>
      </c>
      <c r="N5" s="1" t="s">
        <v>38</v>
      </c>
    </row>
    <row r="6" spans="1:14" ht="43.2" x14ac:dyDescent="0.3">
      <c r="A6" s="1" t="s">
        <v>42</v>
      </c>
      <c r="B6" s="1" t="s">
        <v>42</v>
      </c>
      <c r="C6" s="2">
        <v>35200</v>
      </c>
      <c r="D6" s="2">
        <v>109</v>
      </c>
      <c r="E6" s="2">
        <v>37.6</v>
      </c>
      <c r="F6" s="2">
        <v>8.26</v>
      </c>
      <c r="G6" s="2">
        <v>3.8368E-3</v>
      </c>
      <c r="H6" s="2">
        <v>1.3235199999999999E-3</v>
      </c>
      <c r="I6" s="2">
        <v>0.29075200000000001</v>
      </c>
      <c r="J6" s="1" t="s">
        <v>1</v>
      </c>
      <c r="K6" s="1" t="s">
        <v>1</v>
      </c>
      <c r="L6" s="2">
        <v>0.58627581039068299</v>
      </c>
      <c r="M6" s="2">
        <v>1.39599444774936</v>
      </c>
      <c r="N6" s="1" t="s">
        <v>38</v>
      </c>
    </row>
    <row r="7" spans="1:14" ht="43.2" x14ac:dyDescent="0.3">
      <c r="A7" s="1" t="s">
        <v>44</v>
      </c>
      <c r="B7" s="1" t="s">
        <v>44</v>
      </c>
      <c r="C7" s="2">
        <v>32300</v>
      </c>
      <c r="D7" s="2">
        <v>78.5</v>
      </c>
      <c r="E7" s="2">
        <v>30.3</v>
      </c>
      <c r="F7" s="2">
        <v>8.83</v>
      </c>
      <c r="G7" s="2">
        <v>2.5355500000000001E-3</v>
      </c>
      <c r="H7" s="2">
        <v>9.7868999999999994E-4</v>
      </c>
      <c r="I7" s="2">
        <v>0.28520899999999999</v>
      </c>
      <c r="J7" s="1" t="s">
        <v>1</v>
      </c>
      <c r="K7" s="1" t="s">
        <v>1</v>
      </c>
      <c r="L7" s="2">
        <v>0.53797467828463197</v>
      </c>
      <c r="M7" s="2">
        <v>1.28098354154273</v>
      </c>
      <c r="N7" s="1" t="s">
        <v>38</v>
      </c>
    </row>
    <row r="8" spans="1:14" ht="43.2" x14ac:dyDescent="0.3">
      <c r="A8" s="1" t="s">
        <v>45</v>
      </c>
      <c r="B8" s="1" t="s">
        <v>45</v>
      </c>
      <c r="C8" s="2">
        <v>32100</v>
      </c>
      <c r="D8" s="2">
        <v>67.3</v>
      </c>
      <c r="E8" s="2">
        <v>28.2</v>
      </c>
      <c r="F8" s="2">
        <v>11.78</v>
      </c>
      <c r="G8" s="2">
        <v>2.1603299999999998E-3</v>
      </c>
      <c r="H8" s="2">
        <v>9.0521999999999998E-4</v>
      </c>
      <c r="I8" s="2">
        <v>0.37813799999999997</v>
      </c>
      <c r="J8" s="1" t="s">
        <v>1</v>
      </c>
      <c r="K8" s="1" t="s">
        <v>1</v>
      </c>
      <c r="L8" s="2">
        <v>0.53464356572559402</v>
      </c>
      <c r="M8" s="2">
        <v>1.27305175490779</v>
      </c>
      <c r="N8" s="1" t="s">
        <v>38</v>
      </c>
    </row>
    <row r="9" spans="1:14" ht="43.2" x14ac:dyDescent="0.3">
      <c r="A9" s="1" t="s">
        <v>46</v>
      </c>
      <c r="B9" s="1" t="s">
        <v>46</v>
      </c>
      <c r="C9" s="2">
        <v>18400</v>
      </c>
      <c r="D9" s="2">
        <v>48</v>
      </c>
      <c r="E9" s="2">
        <v>28.5</v>
      </c>
      <c r="F9" s="2">
        <v>11.69</v>
      </c>
      <c r="G9" s="2">
        <v>8.832E-4</v>
      </c>
      <c r="H9" s="2">
        <v>5.2439999999999995E-4</v>
      </c>
      <c r="I9" s="2">
        <v>0.21509600000000001</v>
      </c>
      <c r="J9" s="1" t="s">
        <v>1</v>
      </c>
      <c r="K9" s="1" t="s">
        <v>1</v>
      </c>
      <c r="L9" s="2">
        <v>0.30646235543149303</v>
      </c>
      <c r="M9" s="2">
        <v>0.72972437041443605</v>
      </c>
      <c r="N9" s="1" t="s">
        <v>38</v>
      </c>
    </row>
    <row r="10" spans="1:14" ht="43.2" x14ac:dyDescent="0.3">
      <c r="A10" s="1" t="s">
        <v>47</v>
      </c>
      <c r="B10" s="1" t="s">
        <v>47</v>
      </c>
      <c r="C10" s="2">
        <v>33000</v>
      </c>
      <c r="D10" s="2">
        <v>90.9</v>
      </c>
      <c r="E10" s="2">
        <v>42.3</v>
      </c>
      <c r="F10" s="2">
        <v>12.86</v>
      </c>
      <c r="G10" s="2">
        <v>2.9997000000000001E-3</v>
      </c>
      <c r="H10" s="2">
        <v>1.3959E-3</v>
      </c>
      <c r="I10" s="2">
        <v>0.42437999999999998</v>
      </c>
      <c r="J10" s="1" t="s">
        <v>1</v>
      </c>
      <c r="K10" s="1" t="s">
        <v>1</v>
      </c>
      <c r="L10" s="2">
        <v>0.54963357224126497</v>
      </c>
      <c r="M10" s="2">
        <v>1.3087447947650199</v>
      </c>
      <c r="N10" s="1" t="s">
        <v>38</v>
      </c>
    </row>
    <row r="11" spans="1:14" ht="43.2" x14ac:dyDescent="0.3">
      <c r="A11" s="1" t="s">
        <v>48</v>
      </c>
      <c r="B11" s="1" t="s">
        <v>48</v>
      </c>
      <c r="C11" s="2">
        <v>39400</v>
      </c>
      <c r="D11" s="2">
        <v>137</v>
      </c>
      <c r="E11" s="2">
        <v>61.9</v>
      </c>
      <c r="F11" s="2">
        <v>25.34</v>
      </c>
      <c r="G11" s="2">
        <v>5.3978000000000003E-3</v>
      </c>
      <c r="H11" s="2">
        <v>2.4388600000000002E-3</v>
      </c>
      <c r="I11" s="2">
        <v>0.99839599999999995</v>
      </c>
      <c r="J11" s="1" t="s">
        <v>1</v>
      </c>
      <c r="K11" s="1" t="s">
        <v>1</v>
      </c>
      <c r="L11" s="2">
        <v>0.65622917413048099</v>
      </c>
      <c r="M11" s="2">
        <v>1.5625619670830899</v>
      </c>
      <c r="N11" s="1" t="s">
        <v>38</v>
      </c>
    </row>
    <row r="12" spans="1:14" ht="43.2" x14ac:dyDescent="0.3">
      <c r="A12" s="1" t="s">
        <v>49</v>
      </c>
      <c r="B12" s="1" t="s">
        <v>49</v>
      </c>
      <c r="C12" s="2">
        <v>39900</v>
      </c>
      <c r="D12" s="2">
        <v>189</v>
      </c>
      <c r="E12" s="2">
        <v>82.2</v>
      </c>
      <c r="F12" s="2">
        <v>29.34</v>
      </c>
      <c r="G12" s="2">
        <v>7.5411000000000002E-3</v>
      </c>
      <c r="H12" s="2">
        <v>3.2797799999999999E-3</v>
      </c>
      <c r="I12" s="2">
        <v>1.170666</v>
      </c>
      <c r="J12" s="1" t="s">
        <v>1</v>
      </c>
      <c r="K12" s="1" t="s">
        <v>1</v>
      </c>
      <c r="L12" s="2">
        <v>0.66455695552807503</v>
      </c>
      <c r="M12" s="2">
        <v>1.5823914336704299</v>
      </c>
      <c r="N12" s="1" t="s">
        <v>38</v>
      </c>
    </row>
    <row r="13" spans="1:14" ht="43.2" x14ac:dyDescent="0.3">
      <c r="A13" s="1" t="s">
        <v>50</v>
      </c>
      <c r="B13" s="1" t="s">
        <v>50</v>
      </c>
      <c r="C13" s="2">
        <v>38600</v>
      </c>
      <c r="D13" s="2">
        <v>160</v>
      </c>
      <c r="E13" s="2">
        <v>94</v>
      </c>
      <c r="F13" s="2">
        <v>27.34</v>
      </c>
      <c r="G13" s="2">
        <v>6.1760000000000001E-3</v>
      </c>
      <c r="H13" s="2">
        <v>3.6283999999999999E-3</v>
      </c>
      <c r="I13" s="2">
        <v>1.0553239999999999</v>
      </c>
      <c r="J13" s="1" t="s">
        <v>1</v>
      </c>
      <c r="K13" s="1" t="s">
        <v>1</v>
      </c>
      <c r="L13" s="2">
        <v>0.64290472389432896</v>
      </c>
      <c r="M13" s="2">
        <v>1.53083482054333</v>
      </c>
      <c r="N13" s="1" t="s">
        <v>38</v>
      </c>
    </row>
    <row r="14" spans="1:14" ht="43.2" x14ac:dyDescent="0.3">
      <c r="A14" s="1" t="s">
        <v>51</v>
      </c>
      <c r="B14" s="1" t="s">
        <v>51</v>
      </c>
      <c r="C14" s="2">
        <v>38100</v>
      </c>
      <c r="D14" s="2">
        <v>315</v>
      </c>
      <c r="E14" s="2">
        <v>106</v>
      </c>
      <c r="F14" s="2">
        <v>22.93</v>
      </c>
      <c r="G14" s="2">
        <v>1.20015E-2</v>
      </c>
      <c r="H14" s="2">
        <v>4.0385999999999998E-3</v>
      </c>
      <c r="I14" s="2">
        <v>0.87363299999999999</v>
      </c>
      <c r="J14" s="1" t="s">
        <v>1</v>
      </c>
      <c r="K14" s="1" t="s">
        <v>1</v>
      </c>
      <c r="L14" s="2">
        <v>0.63457694249673402</v>
      </c>
      <c r="M14" s="2">
        <v>1.51100535395598</v>
      </c>
      <c r="N14" s="1" t="s">
        <v>38</v>
      </c>
    </row>
    <row r="15" spans="1:14" ht="43.2" x14ac:dyDescent="0.3">
      <c r="A15" s="1" t="s">
        <v>53</v>
      </c>
      <c r="B15" s="1" t="s">
        <v>53</v>
      </c>
      <c r="C15" s="2">
        <v>42800</v>
      </c>
      <c r="D15" s="2">
        <v>102</v>
      </c>
      <c r="E15" s="2">
        <v>60.5</v>
      </c>
      <c r="F15" s="2">
        <v>9.85</v>
      </c>
      <c r="G15" s="2">
        <v>4.3655999999999999E-3</v>
      </c>
      <c r="H15" s="2">
        <v>2.5893999999999999E-3</v>
      </c>
      <c r="I15" s="2">
        <v>0.42158000000000001</v>
      </c>
      <c r="J15" s="1" t="s">
        <v>1</v>
      </c>
      <c r="K15" s="1" t="s">
        <v>1</v>
      </c>
      <c r="L15" s="2">
        <v>0.71285808763412595</v>
      </c>
      <c r="M15" s="2">
        <v>1.6974023398770599</v>
      </c>
      <c r="N15" s="1" t="s">
        <v>38</v>
      </c>
    </row>
    <row r="16" spans="1:14" ht="43.2" x14ac:dyDescent="0.3">
      <c r="A16" s="1" t="s">
        <v>52</v>
      </c>
      <c r="B16" s="1" t="s">
        <v>52</v>
      </c>
      <c r="C16" s="2">
        <v>59500</v>
      </c>
      <c r="D16" s="2">
        <v>303</v>
      </c>
      <c r="E16" s="2">
        <v>118</v>
      </c>
      <c r="F16" s="2">
        <v>8.68</v>
      </c>
      <c r="G16" s="2">
        <v>1.8028499999999999E-2</v>
      </c>
      <c r="H16" s="2">
        <v>7.0210000000000003E-3</v>
      </c>
      <c r="I16" s="2">
        <v>0.51646000000000003</v>
      </c>
      <c r="J16" s="1" t="s">
        <v>1</v>
      </c>
      <c r="K16" s="1" t="s">
        <v>1</v>
      </c>
      <c r="L16" s="2">
        <v>0.99100598631379699</v>
      </c>
      <c r="M16" s="2">
        <v>2.3597065238945101</v>
      </c>
      <c r="N16" s="1" t="s">
        <v>38</v>
      </c>
    </row>
    <row r="17" spans="1:14" ht="43.2" x14ac:dyDescent="0.3">
      <c r="A17" s="1" t="s">
        <v>54</v>
      </c>
      <c r="B17" s="1" t="s">
        <v>54</v>
      </c>
      <c r="C17" s="2">
        <v>47400</v>
      </c>
      <c r="D17" s="2">
        <v>434</v>
      </c>
      <c r="E17" s="2">
        <v>196</v>
      </c>
      <c r="F17" s="2">
        <v>7.19</v>
      </c>
      <c r="G17" s="2">
        <v>2.0571599999999999E-2</v>
      </c>
      <c r="H17" s="2">
        <v>9.2904000000000007E-3</v>
      </c>
      <c r="I17" s="2">
        <v>0.340806</v>
      </c>
      <c r="J17" s="1" t="s">
        <v>1</v>
      </c>
      <c r="K17" s="1" t="s">
        <v>1</v>
      </c>
      <c r="L17" s="2">
        <v>0.78947367649199895</v>
      </c>
      <c r="M17" s="2">
        <v>1.87983343248067</v>
      </c>
      <c r="N17" s="1" t="s">
        <v>38</v>
      </c>
    </row>
    <row r="18" spans="1:14" ht="43.2" x14ac:dyDescent="0.3">
      <c r="A18" s="1" t="s">
        <v>55</v>
      </c>
      <c r="B18" s="1" t="s">
        <v>55</v>
      </c>
      <c r="C18" s="2">
        <v>50500</v>
      </c>
      <c r="D18" s="2">
        <v>187</v>
      </c>
      <c r="E18" s="2">
        <v>118</v>
      </c>
      <c r="F18" s="2">
        <v>7.27</v>
      </c>
      <c r="G18" s="2">
        <v>9.4435000000000005E-3</v>
      </c>
      <c r="H18" s="2">
        <v>5.9589999999999999E-3</v>
      </c>
      <c r="I18" s="2">
        <v>0.36713499999999999</v>
      </c>
      <c r="J18" s="1" t="s">
        <v>1</v>
      </c>
      <c r="K18" s="1" t="s">
        <v>1</v>
      </c>
      <c r="L18" s="2">
        <v>0.84110592115708804</v>
      </c>
      <c r="M18" s="2">
        <v>2.0027761253222298</v>
      </c>
      <c r="N18" s="1" t="s">
        <v>38</v>
      </c>
    </row>
    <row r="19" spans="1:14" ht="43.2" x14ac:dyDescent="0.3">
      <c r="A19" s="1" t="s">
        <v>56</v>
      </c>
      <c r="B19" s="1" t="s">
        <v>56</v>
      </c>
      <c r="C19" s="2">
        <v>10200</v>
      </c>
      <c r="D19" s="2">
        <v>73.099999999999994</v>
      </c>
      <c r="E19" s="2">
        <v>70.400000000000006</v>
      </c>
      <c r="F19" s="2">
        <v>8.0299999999999994</v>
      </c>
      <c r="G19" s="2">
        <v>7.4562000000000001E-4</v>
      </c>
      <c r="H19" s="2">
        <v>7.1807999999999996E-4</v>
      </c>
      <c r="I19" s="2">
        <v>8.1906000000000007E-2</v>
      </c>
      <c r="J19" s="1" t="s">
        <v>1</v>
      </c>
      <c r="K19" s="1" t="s">
        <v>1</v>
      </c>
      <c r="L19" s="2">
        <v>0.169886740510937</v>
      </c>
      <c r="M19" s="2">
        <v>0.40452111838191601</v>
      </c>
      <c r="N19" s="1" t="s">
        <v>38</v>
      </c>
    </row>
    <row r="20" spans="1:14" ht="43.2" x14ac:dyDescent="0.3">
      <c r="A20" s="1" t="s">
        <v>57</v>
      </c>
      <c r="B20" s="1" t="s">
        <v>57</v>
      </c>
      <c r="C20" s="2">
        <v>1300</v>
      </c>
      <c r="D20" s="2">
        <v>63.9</v>
      </c>
      <c r="E20" s="2">
        <v>40</v>
      </c>
      <c r="F20" s="2">
        <v>8.41</v>
      </c>
      <c r="G20" s="2">
        <v>8.3070000000000003E-5</v>
      </c>
      <c r="H20" s="2">
        <v>5.1999999999999997E-5</v>
      </c>
      <c r="I20" s="2">
        <v>1.0933E-2</v>
      </c>
      <c r="J20" s="1" t="s">
        <v>1</v>
      </c>
      <c r="K20" s="1" t="s">
        <v>1</v>
      </c>
      <c r="L20" s="2">
        <v>2.1652231633746799E-2</v>
      </c>
      <c r="M20" s="2">
        <v>5.1556613127106903E-2</v>
      </c>
      <c r="N20" s="1" t="s">
        <v>38</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zoomScale="70" zoomScaleNormal="70" workbookViewId="0">
      <selection activeCell="K7" sqref="K7"/>
    </sheetView>
  </sheetViews>
  <sheetFormatPr defaultRowHeight="14.4" x14ac:dyDescent="0.3"/>
  <cols>
    <col min="1" max="1" width="16.21875" bestFit="1" customWidth="1"/>
    <col min="2" max="2" width="20.33203125" bestFit="1" customWidth="1"/>
    <col min="3" max="3" width="11.5546875" bestFit="1" customWidth="1"/>
    <col min="5" max="6" width="14.6640625" bestFit="1" customWidth="1"/>
    <col min="7" max="7" width="14.6640625" customWidth="1"/>
    <col min="8" max="9" width="11.6640625" bestFit="1" customWidth="1"/>
    <col min="10" max="10" width="11.5546875" bestFit="1" customWidth="1"/>
    <col min="11" max="11" width="30.77734375" bestFit="1" customWidth="1"/>
  </cols>
  <sheetData>
    <row r="1" spans="1:15" x14ac:dyDescent="0.3">
      <c r="A1" t="s">
        <v>243</v>
      </c>
      <c r="B1" t="s">
        <v>244</v>
      </c>
      <c r="C1" t="s">
        <v>206</v>
      </c>
      <c r="D1" t="s">
        <v>207</v>
      </c>
      <c r="E1" t="s">
        <v>208</v>
      </c>
      <c r="F1" t="s">
        <v>209</v>
      </c>
      <c r="G1" t="s">
        <v>214</v>
      </c>
      <c r="H1" t="s">
        <v>211</v>
      </c>
      <c r="I1" t="s">
        <v>212</v>
      </c>
      <c r="J1" t="s">
        <v>213</v>
      </c>
      <c r="K1" t="s">
        <v>210</v>
      </c>
      <c r="L1" t="s">
        <v>245</v>
      </c>
      <c r="M1" t="s">
        <v>246</v>
      </c>
      <c r="N1" t="s">
        <v>247</v>
      </c>
      <c r="O1" t="s">
        <v>248</v>
      </c>
    </row>
    <row r="2" spans="1:15" x14ac:dyDescent="0.3">
      <c r="A2" t="s">
        <v>123</v>
      </c>
      <c r="B2" t="s">
        <v>123</v>
      </c>
      <c r="C2" t="s">
        <v>122</v>
      </c>
      <c r="D2" s="7">
        <v>43222</v>
      </c>
      <c r="E2" s="8">
        <v>42857.78125</v>
      </c>
      <c r="F2" s="8">
        <v>42864.65625</v>
      </c>
      <c r="G2">
        <v>2743200</v>
      </c>
      <c r="H2" s="9">
        <v>0.48554639999999999</v>
      </c>
      <c r="I2" s="9">
        <v>0.14017752</v>
      </c>
      <c r="J2" s="9">
        <v>19.531583999999999</v>
      </c>
    </row>
    <row r="3" spans="1:15" s="4" customFormat="1" x14ac:dyDescent="0.3">
      <c r="A3" s="19" t="s">
        <v>124</v>
      </c>
      <c r="B3" s="19" t="s">
        <v>124</v>
      </c>
      <c r="C3" s="19" t="s">
        <v>122</v>
      </c>
      <c r="D3" s="20">
        <v>43229</v>
      </c>
      <c r="E3" s="12">
        <v>42864.666666666664</v>
      </c>
      <c r="F3" s="12">
        <v>42871.552083333336</v>
      </c>
      <c r="K3" s="4" t="s">
        <v>203</v>
      </c>
      <c r="L3" s="4">
        <v>1021600</v>
      </c>
      <c r="M3" s="18">
        <v>4.428636</v>
      </c>
      <c r="N3" s="18">
        <v>1.675424</v>
      </c>
      <c r="O3" s="18">
        <v>52.316136</v>
      </c>
    </row>
    <row r="4" spans="1:15" x14ac:dyDescent="0.3">
      <c r="A4" t="s">
        <v>126</v>
      </c>
      <c r="B4" t="s">
        <v>126</v>
      </c>
      <c r="C4" t="s">
        <v>122</v>
      </c>
      <c r="D4" s="7">
        <v>43236</v>
      </c>
      <c r="E4" s="8">
        <v>42871.5625</v>
      </c>
      <c r="F4" s="8">
        <v>42878.520833333336</v>
      </c>
      <c r="G4" s="4"/>
      <c r="H4" s="4"/>
      <c r="I4" s="4"/>
      <c r="J4" s="4"/>
      <c r="K4" s="4" t="s">
        <v>291</v>
      </c>
      <c r="L4" s="4">
        <v>514300</v>
      </c>
      <c r="M4" s="18">
        <v>0.35486699999999999</v>
      </c>
      <c r="N4" s="18">
        <v>9.4116900000000003E-2</v>
      </c>
      <c r="O4" s="18">
        <v>4.9681379999999997</v>
      </c>
    </row>
    <row r="5" spans="1:15" x14ac:dyDescent="0.3">
      <c r="A5" t="s">
        <v>127</v>
      </c>
      <c r="B5" t="s">
        <v>127</v>
      </c>
      <c r="C5" t="s">
        <v>122</v>
      </c>
      <c r="D5" s="7">
        <v>43243</v>
      </c>
      <c r="E5" s="8">
        <v>42878.53125</v>
      </c>
      <c r="F5" s="8">
        <v>42885.510416666664</v>
      </c>
      <c r="G5">
        <v>458000</v>
      </c>
      <c r="H5" s="9">
        <v>3.5815600000000003E-2</v>
      </c>
      <c r="I5" s="9">
        <v>3.4670600000000003E-2</v>
      </c>
      <c r="J5" s="9">
        <v>3.5357599999999998</v>
      </c>
    </row>
    <row r="6" spans="1:15" x14ac:dyDescent="0.3">
      <c r="A6" t="s">
        <v>128</v>
      </c>
      <c r="B6" t="s">
        <v>128</v>
      </c>
      <c r="C6" t="s">
        <v>122</v>
      </c>
      <c r="D6" s="7">
        <v>43250</v>
      </c>
      <c r="E6" s="8">
        <v>42885.520833333336</v>
      </c>
      <c r="F6" s="8">
        <v>42893.541666666664</v>
      </c>
      <c r="G6">
        <v>807800</v>
      </c>
      <c r="H6" s="9">
        <v>0.1114764</v>
      </c>
      <c r="I6" s="9">
        <v>0.1155154</v>
      </c>
      <c r="J6" s="9">
        <v>16.11561</v>
      </c>
      <c r="K6" s="11"/>
    </row>
    <row r="7" spans="1:15" x14ac:dyDescent="0.3">
      <c r="A7" t="s">
        <v>129</v>
      </c>
      <c r="B7" t="s">
        <v>129</v>
      </c>
      <c r="C7" t="s">
        <v>122</v>
      </c>
      <c r="D7" s="7">
        <v>43258</v>
      </c>
      <c r="E7" s="8">
        <v>42893.552083333336</v>
      </c>
      <c r="F7" s="8">
        <v>42899.59375</v>
      </c>
      <c r="G7">
        <v>821400</v>
      </c>
      <c r="H7" s="9">
        <v>6.0455040000000002E-2</v>
      </c>
      <c r="I7" s="9">
        <v>4.9366140000000003E-2</v>
      </c>
      <c r="J7" s="9">
        <v>8.1236460000000008</v>
      </c>
      <c r="K7" s="11"/>
    </row>
    <row r="8" spans="1:15" x14ac:dyDescent="0.3">
      <c r="A8" t="s">
        <v>130</v>
      </c>
      <c r="B8" t="s">
        <v>130</v>
      </c>
      <c r="C8" t="s">
        <v>122</v>
      </c>
      <c r="D8" s="7">
        <v>43264</v>
      </c>
      <c r="E8" s="8">
        <v>42899.604166666664</v>
      </c>
      <c r="F8" s="8">
        <v>42908.541666666664</v>
      </c>
      <c r="G8">
        <v>755800</v>
      </c>
      <c r="H8" s="9">
        <v>0.14284620000000001</v>
      </c>
      <c r="I8" s="9">
        <v>9.9765599999999996E-2</v>
      </c>
      <c r="J8" s="9">
        <v>8.978904</v>
      </c>
      <c r="K8" s="11"/>
    </row>
    <row r="9" spans="1:15" x14ac:dyDescent="0.3">
      <c r="A9" t="s">
        <v>131</v>
      </c>
      <c r="B9" t="s">
        <v>236</v>
      </c>
      <c r="C9" t="s">
        <v>122</v>
      </c>
      <c r="D9" s="7">
        <v>43273</v>
      </c>
      <c r="E9" s="8">
        <v>42908.552083333336</v>
      </c>
      <c r="F9" s="12">
        <v>42913.666666666664</v>
      </c>
      <c r="K9" t="s">
        <v>237</v>
      </c>
      <c r="L9" s="22">
        <v>4173900</v>
      </c>
      <c r="M9" s="15">
        <v>1.0734219999999999</v>
      </c>
      <c r="N9" s="15">
        <v>0.61503799999999997</v>
      </c>
      <c r="O9" s="15">
        <v>59.448397999999997</v>
      </c>
    </row>
    <row r="10" spans="1:15" s="19" customFormat="1" x14ac:dyDescent="0.3">
      <c r="A10" t="s">
        <v>134</v>
      </c>
      <c r="B10" t="s">
        <v>238</v>
      </c>
      <c r="C10" t="s">
        <v>122</v>
      </c>
      <c r="D10" s="7">
        <v>43278</v>
      </c>
      <c r="E10" s="12">
        <v>42913.677083333336</v>
      </c>
      <c r="F10" s="8">
        <v>42921.395833333336</v>
      </c>
      <c r="G10" s="19">
        <v>3674400</v>
      </c>
      <c r="H10" s="9">
        <v>0.86716695999999993</v>
      </c>
      <c r="I10" s="9">
        <v>0.52920084000000001</v>
      </c>
      <c r="J10" s="9">
        <v>124.25509600000001</v>
      </c>
      <c r="K10" t="s">
        <v>239</v>
      </c>
    </row>
    <row r="11" spans="1:15" s="19" customFormat="1" x14ac:dyDescent="0.3">
      <c r="A11" t="s">
        <v>138</v>
      </c>
      <c r="B11" t="s">
        <v>138</v>
      </c>
      <c r="C11" t="s">
        <v>122</v>
      </c>
      <c r="D11" s="7">
        <v>43286</v>
      </c>
      <c r="E11" s="8">
        <v>42921.40625</v>
      </c>
      <c r="F11" s="8">
        <v>42927.635416666664</v>
      </c>
      <c r="G11" s="19">
        <v>644200</v>
      </c>
      <c r="H11" s="9">
        <v>6.6352599999999998E-2</v>
      </c>
      <c r="I11" s="9">
        <v>5.6303079999999998E-2</v>
      </c>
      <c r="J11" s="9">
        <v>8.6000700000000005</v>
      </c>
      <c r="K11" s="11"/>
    </row>
    <row r="12" spans="1:15" x14ac:dyDescent="0.3">
      <c r="A12" t="s">
        <v>139</v>
      </c>
      <c r="B12" t="s">
        <v>139</v>
      </c>
      <c r="C12" t="s">
        <v>122</v>
      </c>
      <c r="D12" s="7">
        <v>43292</v>
      </c>
      <c r="E12" s="8">
        <v>42927.645833333336</v>
      </c>
      <c r="F12" s="8">
        <v>42934.625</v>
      </c>
      <c r="G12">
        <v>1456900</v>
      </c>
      <c r="H12" s="9">
        <v>0.14860380000000001</v>
      </c>
      <c r="I12" s="9">
        <v>0.12864427000000001</v>
      </c>
      <c r="J12" s="9">
        <v>21.664103000000001</v>
      </c>
      <c r="K12" s="11"/>
    </row>
    <row r="13" spans="1:15" x14ac:dyDescent="0.3">
      <c r="A13" t="s">
        <v>140</v>
      </c>
      <c r="B13" t="s">
        <v>140</v>
      </c>
      <c r="C13" t="s">
        <v>122</v>
      </c>
      <c r="D13" s="7">
        <v>43299</v>
      </c>
      <c r="E13" s="8">
        <v>42934.635416666664</v>
      </c>
      <c r="F13" s="8">
        <v>42942.541666666664</v>
      </c>
      <c r="G13">
        <v>653100</v>
      </c>
      <c r="H13" s="9">
        <v>5.1790830000000003E-2</v>
      </c>
      <c r="I13" s="9">
        <v>4.532514E-2</v>
      </c>
      <c r="J13" s="9">
        <v>8.4249899999999993</v>
      </c>
      <c r="K13" s="11" t="s">
        <v>1</v>
      </c>
    </row>
    <row r="14" spans="1:15" x14ac:dyDescent="0.3">
      <c r="A14" t="s">
        <v>141</v>
      </c>
      <c r="B14" t="s">
        <v>141</v>
      </c>
      <c r="C14" t="s">
        <v>122</v>
      </c>
      <c r="D14" s="7">
        <v>43307</v>
      </c>
      <c r="E14" s="8">
        <v>42942.552083333336</v>
      </c>
      <c r="F14" s="8">
        <v>42947.958333333336</v>
      </c>
      <c r="G14">
        <v>209000</v>
      </c>
      <c r="H14" s="9">
        <v>1.5382399999999999E-2</v>
      </c>
      <c r="I14" s="9">
        <v>1.24773E-2</v>
      </c>
      <c r="J14" s="9">
        <v>2.4662000000000002</v>
      </c>
      <c r="K14" s="11"/>
    </row>
    <row r="15" spans="1:15" x14ac:dyDescent="0.3">
      <c r="A15" s="11"/>
      <c r="B15" s="11"/>
      <c r="C15" s="9"/>
      <c r="E15" s="11"/>
      <c r="F15" s="11"/>
      <c r="G15" s="11"/>
      <c r="H15" s="9"/>
      <c r="I15" s="9"/>
    </row>
    <row r="16" spans="1:15" x14ac:dyDescent="0.3">
      <c r="A16" s="11"/>
      <c r="B16" s="11"/>
      <c r="C16" s="9"/>
      <c r="E16" s="11"/>
      <c r="F16" s="11"/>
      <c r="G16" s="11"/>
      <c r="H16" s="9"/>
      <c r="I16" s="9"/>
    </row>
    <row r="17" spans="1:9" x14ac:dyDescent="0.3">
      <c r="A17" s="11"/>
      <c r="B17" s="11"/>
      <c r="C17" s="9"/>
      <c r="E17" s="11"/>
      <c r="F17" s="11"/>
      <c r="G17" s="11"/>
      <c r="H17" s="9"/>
      <c r="I17" s="9"/>
    </row>
    <row r="18" spans="1:9" x14ac:dyDescent="0.3">
      <c r="A18" s="11"/>
      <c r="B18" s="11"/>
      <c r="C18" s="9"/>
      <c r="E18" s="11"/>
      <c r="F18" s="11"/>
      <c r="G18" s="11"/>
      <c r="H18" s="9"/>
      <c r="I18" s="9"/>
    </row>
    <row r="19" spans="1:9" x14ac:dyDescent="0.3">
      <c r="A19" s="11"/>
      <c r="B19" s="11"/>
      <c r="C19" s="9"/>
      <c r="E19" s="11"/>
      <c r="F19" s="11"/>
      <c r="G19" s="11"/>
      <c r="H19" s="9"/>
      <c r="I19" s="9"/>
    </row>
    <row r="20" spans="1:9" x14ac:dyDescent="0.3">
      <c r="A20" s="11"/>
      <c r="B20" s="11"/>
      <c r="C20" s="9"/>
      <c r="E20" s="11"/>
      <c r="F20" s="11"/>
      <c r="G20" s="11"/>
      <c r="H20" s="9"/>
      <c r="I20" s="9"/>
    </row>
    <row r="21" spans="1:9" x14ac:dyDescent="0.3">
      <c r="A21" s="11"/>
      <c r="B21" s="11"/>
      <c r="C21" s="9"/>
      <c r="E21" s="11"/>
      <c r="F21" s="11"/>
      <c r="G21" s="11"/>
      <c r="H21" s="9"/>
      <c r="I21" s="9"/>
    </row>
    <row r="22" spans="1:9" x14ac:dyDescent="0.3">
      <c r="A22" s="11"/>
      <c r="B22" s="11"/>
      <c r="C22" s="9"/>
      <c r="E22" s="11"/>
      <c r="F22" s="11"/>
      <c r="G22" s="11"/>
      <c r="H22" s="9"/>
      <c r="I22" s="9"/>
    </row>
    <row r="23" spans="1:9" x14ac:dyDescent="0.3">
      <c r="A23" s="11"/>
      <c r="B23" s="11"/>
      <c r="C23" s="9"/>
      <c r="E23" s="11"/>
      <c r="F23" s="11"/>
      <c r="G23" s="11"/>
      <c r="H23" s="9"/>
      <c r="I23" s="9"/>
    </row>
    <row r="24" spans="1:9" x14ac:dyDescent="0.3">
      <c r="A24" s="11"/>
      <c r="B24" s="11"/>
      <c r="C24" s="9"/>
      <c r="E24" s="11"/>
      <c r="F24" s="11"/>
      <c r="G24" s="11"/>
      <c r="H24" s="9"/>
    </row>
    <row r="25" spans="1:9" x14ac:dyDescent="0.3">
      <c r="A25" s="11"/>
      <c r="B25" s="11"/>
      <c r="C25" s="9"/>
      <c r="F25" s="11"/>
      <c r="G25" s="11"/>
      <c r="H25" s="9"/>
    </row>
    <row r="26" spans="1:9" x14ac:dyDescent="0.3">
      <c r="A26" s="11"/>
      <c r="B26" s="11"/>
      <c r="C26" s="9"/>
      <c r="F26" s="11"/>
      <c r="G26" s="11"/>
      <c r="H26" s="9"/>
    </row>
    <row r="27" spans="1:9" x14ac:dyDescent="0.3">
      <c r="A27" s="11"/>
      <c r="B27" s="11"/>
      <c r="C27" s="9"/>
      <c r="F27" s="11"/>
      <c r="G27" s="11"/>
      <c r="H27" s="9"/>
    </row>
    <row r="28" spans="1:9" x14ac:dyDescent="0.3">
      <c r="A28" s="11"/>
      <c r="B28" s="11"/>
      <c r="C28" s="9"/>
      <c r="F28" s="11"/>
      <c r="G28" s="11"/>
      <c r="H28" s="9"/>
    </row>
    <row r="29" spans="1:9" x14ac:dyDescent="0.3">
      <c r="A29" s="11"/>
      <c r="B29" s="11"/>
      <c r="C29" s="9"/>
      <c r="F29" s="11"/>
      <c r="G29" s="11"/>
      <c r="H29" s="9"/>
    </row>
    <row r="30" spans="1:9" x14ac:dyDescent="0.3">
      <c r="A30" s="11"/>
      <c r="B30" s="11"/>
      <c r="C30" s="9"/>
      <c r="F30" s="11"/>
      <c r="G30" s="11"/>
      <c r="H30" s="9"/>
    </row>
    <row r="31" spans="1:9" x14ac:dyDescent="0.3">
      <c r="A31" s="11"/>
      <c r="B31" s="11"/>
      <c r="C31" s="9"/>
      <c r="F31" s="11"/>
      <c r="G31" s="11"/>
      <c r="H31" s="9"/>
    </row>
    <row r="32" spans="1:9" x14ac:dyDescent="0.3">
      <c r="A32" s="11"/>
      <c r="B32" s="11"/>
      <c r="C32" s="9"/>
    </row>
    <row r="33" spans="1:3" x14ac:dyDescent="0.3">
      <c r="A33" s="11"/>
      <c r="B33" s="11"/>
      <c r="C33" s="9"/>
    </row>
    <row r="34" spans="1:3" x14ac:dyDescent="0.3">
      <c r="A34" s="11"/>
      <c r="B34" s="11"/>
      <c r="C34" s="9"/>
    </row>
    <row r="35" spans="1:3" x14ac:dyDescent="0.3">
      <c r="A35" s="11"/>
      <c r="B35" s="11"/>
      <c r="C35" s="9"/>
    </row>
    <row r="36" spans="1:3" x14ac:dyDescent="0.3">
      <c r="A36" s="11"/>
      <c r="B36" s="11"/>
      <c r="C36" s="9"/>
    </row>
    <row r="37" spans="1:3" x14ac:dyDescent="0.3">
      <c r="A37" s="11"/>
      <c r="B37" s="11"/>
      <c r="C37" s="9"/>
    </row>
    <row r="38" spans="1:3" x14ac:dyDescent="0.3">
      <c r="A38" s="11"/>
      <c r="B38" s="11"/>
      <c r="C38" s="9"/>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opLeftCell="A13" workbookViewId="0">
      <selection activeCell="H10" sqref="H10"/>
    </sheetView>
  </sheetViews>
  <sheetFormatPr defaultRowHeight="14.4" x14ac:dyDescent="0.3"/>
  <sheetData>
    <row r="1" spans="1:14" x14ac:dyDescent="0.3">
      <c r="A1" s="3" t="s">
        <v>23</v>
      </c>
      <c r="B1" s="3" t="s">
        <v>24</v>
      </c>
      <c r="C1" s="3" t="s">
        <v>25</v>
      </c>
      <c r="D1" s="3" t="s">
        <v>26</v>
      </c>
      <c r="E1" s="3" t="s">
        <v>27</v>
      </c>
      <c r="F1" s="3" t="s">
        <v>28</v>
      </c>
      <c r="G1" s="3" t="s">
        <v>29</v>
      </c>
      <c r="H1" s="3" t="s">
        <v>30</v>
      </c>
      <c r="I1" s="3" t="s">
        <v>31</v>
      </c>
      <c r="J1" s="3" t="s">
        <v>32</v>
      </c>
      <c r="K1" s="3" t="s">
        <v>33</v>
      </c>
      <c r="L1" s="3" t="s">
        <v>34</v>
      </c>
      <c r="M1" s="3" t="s">
        <v>35</v>
      </c>
      <c r="N1" s="3" t="s">
        <v>36</v>
      </c>
    </row>
    <row r="2" spans="1:14" ht="43.2" x14ac:dyDescent="0.3">
      <c r="A2" s="1" t="s">
        <v>142</v>
      </c>
      <c r="B2" s="1" t="s">
        <v>142</v>
      </c>
      <c r="C2" s="2">
        <v>333800</v>
      </c>
      <c r="D2" s="2">
        <v>170</v>
      </c>
      <c r="E2" s="2">
        <v>42.3</v>
      </c>
      <c r="F2" s="2">
        <v>1.26</v>
      </c>
      <c r="G2" s="2">
        <v>5.6745999999999998E-2</v>
      </c>
      <c r="H2" s="2">
        <v>1.411974E-2</v>
      </c>
      <c r="I2" s="2">
        <v>0.42058800000000002</v>
      </c>
      <c r="J2" s="1" t="s">
        <v>1</v>
      </c>
      <c r="K2" s="1" t="s">
        <v>1</v>
      </c>
      <c r="L2" s="2">
        <v>2.70305293719706</v>
      </c>
      <c r="M2" s="2">
        <v>10.7757368370081</v>
      </c>
      <c r="N2" s="1" t="s">
        <v>143</v>
      </c>
    </row>
    <row r="3" spans="1:14" ht="43.2" x14ac:dyDescent="0.3">
      <c r="A3" s="1" t="s">
        <v>144</v>
      </c>
      <c r="B3" s="1" t="s">
        <v>144</v>
      </c>
      <c r="C3" s="2">
        <v>102100</v>
      </c>
      <c r="D3" s="2">
        <v>140</v>
      </c>
      <c r="E3" s="2">
        <v>40.1</v>
      </c>
      <c r="F3" s="2">
        <v>1.1299999999999999</v>
      </c>
      <c r="G3" s="2">
        <v>1.4293999999999999E-2</v>
      </c>
      <c r="H3" s="2">
        <v>4.09421E-3</v>
      </c>
      <c r="I3" s="2">
        <v>0.115373</v>
      </c>
      <c r="J3" s="1" t="s">
        <v>1</v>
      </c>
      <c r="K3" s="1" t="s">
        <v>1</v>
      </c>
      <c r="L3" s="2">
        <v>0.82678761200664996</v>
      </c>
      <c r="M3" s="2">
        <v>3.29599380185299</v>
      </c>
      <c r="N3" s="1" t="s">
        <v>143</v>
      </c>
    </row>
    <row r="4" spans="1:14" ht="43.2" x14ac:dyDescent="0.3">
      <c r="A4" s="1" t="s">
        <v>145</v>
      </c>
      <c r="B4" s="1" t="s">
        <v>145</v>
      </c>
      <c r="C4" s="2">
        <v>100100</v>
      </c>
      <c r="D4" s="2">
        <v>77.5</v>
      </c>
      <c r="E4" s="2">
        <v>37.5</v>
      </c>
      <c r="F4" s="2">
        <v>0.99</v>
      </c>
      <c r="G4" s="2">
        <v>7.7577499999999999E-3</v>
      </c>
      <c r="H4" s="2">
        <v>3.7537500000000001E-3</v>
      </c>
      <c r="I4" s="2">
        <v>9.9099000000000007E-2</v>
      </c>
      <c r="J4" s="1" t="s">
        <v>1</v>
      </c>
      <c r="K4" s="1" t="s">
        <v>1</v>
      </c>
      <c r="L4" s="2">
        <v>0.81059196828467905</v>
      </c>
      <c r="M4" s="2">
        <v>3.23142977047487</v>
      </c>
      <c r="N4" s="1" t="s">
        <v>143</v>
      </c>
    </row>
    <row r="5" spans="1:14" ht="43.2" x14ac:dyDescent="0.3">
      <c r="A5" s="1" t="s">
        <v>146</v>
      </c>
      <c r="B5" s="1" t="s">
        <v>146</v>
      </c>
      <c r="C5" s="2">
        <v>100100</v>
      </c>
      <c r="D5" s="2">
        <v>159</v>
      </c>
      <c r="E5" s="2">
        <v>32.5</v>
      </c>
      <c r="F5" s="2">
        <v>1.06</v>
      </c>
      <c r="G5" s="2">
        <v>1.59159E-2</v>
      </c>
      <c r="H5" s="2">
        <v>3.2532500000000001E-3</v>
      </c>
      <c r="I5" s="2">
        <v>0.10610600000000001</v>
      </c>
      <c r="J5" s="1" t="s">
        <v>1</v>
      </c>
      <c r="K5" s="1" t="s">
        <v>1</v>
      </c>
      <c r="L5" s="2">
        <v>0.81059196828467905</v>
      </c>
      <c r="M5" s="2">
        <v>3.23142977047487</v>
      </c>
      <c r="N5" s="1" t="s">
        <v>143</v>
      </c>
    </row>
    <row r="6" spans="1:14" ht="43.2" x14ac:dyDescent="0.3">
      <c r="A6" s="1" t="s">
        <v>147</v>
      </c>
      <c r="B6" s="1" t="s">
        <v>147</v>
      </c>
      <c r="C6" s="2">
        <v>98000</v>
      </c>
      <c r="D6" s="2">
        <v>199</v>
      </c>
      <c r="E6" s="2">
        <v>38.6</v>
      </c>
      <c r="F6" s="2">
        <v>1.1000000000000001</v>
      </c>
      <c r="G6" s="2">
        <v>1.9501999999999999E-2</v>
      </c>
      <c r="H6" s="2">
        <v>3.7827999999999998E-3</v>
      </c>
      <c r="I6" s="2">
        <v>0.10780000000000001</v>
      </c>
      <c r="J6" s="1" t="s">
        <v>1</v>
      </c>
      <c r="K6" s="1" t="s">
        <v>1</v>
      </c>
      <c r="L6" s="2">
        <v>0.79358654237660897</v>
      </c>
      <c r="M6" s="2">
        <v>3.16363753752784</v>
      </c>
      <c r="N6" s="1" t="s">
        <v>143</v>
      </c>
    </row>
    <row r="7" spans="1:14" ht="43.2" x14ac:dyDescent="0.3">
      <c r="A7" s="1" t="s">
        <v>148</v>
      </c>
      <c r="B7" s="1" t="s">
        <v>148</v>
      </c>
      <c r="C7" s="2">
        <v>197100</v>
      </c>
      <c r="D7" s="2">
        <v>80.8</v>
      </c>
      <c r="E7" s="2">
        <v>35.9</v>
      </c>
      <c r="F7" s="2">
        <v>0.71</v>
      </c>
      <c r="G7" s="2">
        <v>1.5925680000000001E-2</v>
      </c>
      <c r="H7" s="2">
        <v>7.0758899999999996E-3</v>
      </c>
      <c r="I7" s="2">
        <v>0.13994100000000001</v>
      </c>
      <c r="J7" s="1" t="s">
        <v>1</v>
      </c>
      <c r="K7" s="1" t="s">
        <v>1</v>
      </c>
      <c r="L7" s="2">
        <v>1.5960806888003001</v>
      </c>
      <c r="M7" s="2">
        <v>6.3627852923136503</v>
      </c>
      <c r="N7" s="1" t="s">
        <v>143</v>
      </c>
    </row>
    <row r="8" spans="1:14" ht="43.2" x14ac:dyDescent="0.3">
      <c r="A8" s="1" t="s">
        <v>149</v>
      </c>
      <c r="B8" s="1" t="s">
        <v>149</v>
      </c>
      <c r="C8" s="2">
        <v>51300</v>
      </c>
      <c r="D8" s="2">
        <v>49.7</v>
      </c>
      <c r="E8" s="2">
        <v>16</v>
      </c>
      <c r="F8" s="2">
        <v>0.78</v>
      </c>
      <c r="G8" s="2">
        <v>2.5496099999999999E-3</v>
      </c>
      <c r="H8" s="2">
        <v>8.208E-4</v>
      </c>
      <c r="I8" s="2">
        <v>4.0014000000000001E-2</v>
      </c>
      <c r="J8" s="1" t="s">
        <v>1</v>
      </c>
      <c r="K8" s="1" t="s">
        <v>1</v>
      </c>
      <c r="L8" s="2">
        <v>0.41541826146857203</v>
      </c>
      <c r="M8" s="2">
        <v>1.65606740484876</v>
      </c>
      <c r="N8" s="1" t="s">
        <v>143</v>
      </c>
    </row>
    <row r="9" spans="1:14" ht="43.2" x14ac:dyDescent="0.3">
      <c r="A9" s="1" t="s">
        <v>150</v>
      </c>
      <c r="B9" s="1" t="s">
        <v>150</v>
      </c>
      <c r="C9" s="2">
        <v>30900</v>
      </c>
      <c r="D9" s="2">
        <v>89.1</v>
      </c>
      <c r="E9" s="2">
        <v>23</v>
      </c>
      <c r="F9" s="2">
        <v>0.95</v>
      </c>
      <c r="G9" s="2">
        <v>2.75319E-3</v>
      </c>
      <c r="H9" s="2">
        <v>7.1069999999999998E-4</v>
      </c>
      <c r="I9" s="2">
        <v>2.9354999999999999E-2</v>
      </c>
      <c r="J9" s="1" t="s">
        <v>1</v>
      </c>
      <c r="K9" s="1" t="s">
        <v>1</v>
      </c>
      <c r="L9" s="2">
        <v>0.25022269550446102</v>
      </c>
      <c r="M9" s="2">
        <v>0.99751428479194204</v>
      </c>
      <c r="N9" s="1" t="s">
        <v>143</v>
      </c>
    </row>
    <row r="10" spans="1:14" ht="72" x14ac:dyDescent="0.3">
      <c r="A10" s="1" t="s">
        <v>151</v>
      </c>
      <c r="B10" s="1" t="s">
        <v>151</v>
      </c>
      <c r="C10" s="2">
        <v>17300</v>
      </c>
      <c r="D10" s="2">
        <v>46.5</v>
      </c>
      <c r="E10" s="2">
        <v>8.6</v>
      </c>
      <c r="F10" s="2">
        <v>0.79</v>
      </c>
      <c r="G10" s="2">
        <v>8.0444999999999996E-4</v>
      </c>
      <c r="H10" s="2">
        <v>1.4878E-4</v>
      </c>
      <c r="I10" s="2">
        <v>1.3667E-2</v>
      </c>
      <c r="J10" s="1" t="s">
        <v>9</v>
      </c>
      <c r="K10" s="1" t="s">
        <v>10</v>
      </c>
      <c r="L10" s="2">
        <v>0.14009231819505399</v>
      </c>
      <c r="M10" s="2">
        <v>0.55847887142073105</v>
      </c>
      <c r="N10" s="1" t="s">
        <v>143</v>
      </c>
    </row>
    <row r="11" spans="1:14" ht="43.2" x14ac:dyDescent="0.3">
      <c r="A11" s="1" t="s">
        <v>152</v>
      </c>
      <c r="B11" s="1" t="s">
        <v>152</v>
      </c>
      <c r="C11" s="2">
        <v>21200</v>
      </c>
      <c r="D11" s="2">
        <v>160</v>
      </c>
      <c r="E11" s="2">
        <v>31.1</v>
      </c>
      <c r="F11" s="2">
        <v>1.25</v>
      </c>
      <c r="G11" s="2">
        <v>3.392E-3</v>
      </c>
      <c r="H11" s="2">
        <v>6.5932000000000002E-4</v>
      </c>
      <c r="I11" s="2">
        <v>2.6499999999999999E-2</v>
      </c>
      <c r="J11" s="1" t="s">
        <v>1</v>
      </c>
      <c r="K11" s="1" t="s">
        <v>1</v>
      </c>
      <c r="L11" s="2">
        <v>0.171673823452899</v>
      </c>
      <c r="M11" s="2">
        <v>0.68437873260806403</v>
      </c>
      <c r="N11" s="1" t="s">
        <v>143</v>
      </c>
    </row>
    <row r="12" spans="1:14" ht="72" x14ac:dyDescent="0.3">
      <c r="A12" s="1" t="s">
        <v>153</v>
      </c>
      <c r="B12" s="1" t="s">
        <v>153</v>
      </c>
      <c r="C12" s="2">
        <v>600</v>
      </c>
      <c r="D12" s="2">
        <v>71.2</v>
      </c>
      <c r="F12" s="2">
        <v>1.33</v>
      </c>
      <c r="G12" s="2">
        <v>4.2719999999999998E-5</v>
      </c>
      <c r="I12" s="2">
        <v>7.9799999999999999E-4</v>
      </c>
      <c r="J12" s="1" t="s">
        <v>9</v>
      </c>
      <c r="K12" s="1" t="s">
        <v>154</v>
      </c>
      <c r="L12" s="2">
        <v>4.8586931165914803E-3</v>
      </c>
      <c r="M12" s="2">
        <v>1.9369209413435801E-2</v>
      </c>
      <c r="N12" s="1" t="s">
        <v>143</v>
      </c>
    </row>
    <row r="13" spans="1:14" ht="43.2" x14ac:dyDescent="0.3">
      <c r="A13" s="1" t="s">
        <v>155</v>
      </c>
      <c r="B13" s="1" t="s">
        <v>155</v>
      </c>
      <c r="C13" s="2">
        <v>18300</v>
      </c>
      <c r="D13" s="2">
        <v>261</v>
      </c>
      <c r="E13" s="2">
        <v>57.2</v>
      </c>
      <c r="F13" s="2">
        <v>2.04</v>
      </c>
      <c r="G13" s="2">
        <v>4.7762999999999998E-3</v>
      </c>
      <c r="H13" s="2">
        <v>1.0467600000000001E-3</v>
      </c>
      <c r="I13" s="2">
        <v>3.7331999999999997E-2</v>
      </c>
      <c r="J13" s="1" t="s">
        <v>1</v>
      </c>
      <c r="K13" s="1" t="s">
        <v>1</v>
      </c>
      <c r="L13" s="2">
        <v>0.14819014005604</v>
      </c>
      <c r="M13" s="2">
        <v>0.59076088710979102</v>
      </c>
      <c r="N13" s="1" t="s">
        <v>143</v>
      </c>
    </row>
    <row r="14" spans="1:14" ht="43.2" x14ac:dyDescent="0.3">
      <c r="A14" s="1" t="s">
        <v>156</v>
      </c>
      <c r="B14" s="1" t="s">
        <v>156</v>
      </c>
      <c r="C14" s="2">
        <v>19700</v>
      </c>
      <c r="D14" s="2">
        <v>234</v>
      </c>
      <c r="E14" s="2">
        <v>71.5</v>
      </c>
      <c r="F14" s="2">
        <v>1.9</v>
      </c>
      <c r="G14" s="2">
        <v>4.6097999999999998E-3</v>
      </c>
      <c r="H14" s="2">
        <v>1.4085499999999999E-3</v>
      </c>
      <c r="I14" s="2">
        <v>3.7429999999999998E-2</v>
      </c>
      <c r="J14" s="1" t="s">
        <v>1</v>
      </c>
      <c r="K14" s="1" t="s">
        <v>1</v>
      </c>
      <c r="L14" s="2">
        <v>0.15952709066142001</v>
      </c>
      <c r="M14" s="2">
        <v>0.63595570907447496</v>
      </c>
      <c r="N14" s="1" t="s">
        <v>143</v>
      </c>
    </row>
    <row r="15" spans="1:14" ht="43.2" x14ac:dyDescent="0.3">
      <c r="A15" s="1" t="s">
        <v>157</v>
      </c>
      <c r="B15" s="1" t="s">
        <v>157</v>
      </c>
      <c r="C15" s="2">
        <v>20600</v>
      </c>
      <c r="D15" s="2">
        <v>206</v>
      </c>
      <c r="E15" s="2">
        <v>58.9</v>
      </c>
      <c r="F15" s="2">
        <v>1.61</v>
      </c>
      <c r="G15" s="2">
        <v>4.2436000000000001E-3</v>
      </c>
      <c r="H15" s="2">
        <v>1.21334E-3</v>
      </c>
      <c r="I15" s="2">
        <v>3.3166000000000001E-2</v>
      </c>
      <c r="J15" s="1" t="s">
        <v>1</v>
      </c>
      <c r="K15" s="1" t="s">
        <v>1</v>
      </c>
      <c r="L15" s="2">
        <v>0.16681513033630799</v>
      </c>
      <c r="M15" s="2">
        <v>0.66500952319462803</v>
      </c>
      <c r="N15" s="1" t="s">
        <v>143</v>
      </c>
    </row>
    <row r="16" spans="1:14" ht="43.2" x14ac:dyDescent="0.3">
      <c r="A16" s="1" t="s">
        <v>158</v>
      </c>
      <c r="B16" s="1" t="s">
        <v>158</v>
      </c>
      <c r="C16" s="2">
        <v>19700</v>
      </c>
      <c r="D16" s="2">
        <v>142</v>
      </c>
      <c r="E16" s="2">
        <v>57.9</v>
      </c>
      <c r="F16" s="2">
        <v>1.38</v>
      </c>
      <c r="G16" s="2">
        <v>2.7973999999999998E-3</v>
      </c>
      <c r="H16" s="2">
        <v>1.1406299999999999E-3</v>
      </c>
      <c r="I16" s="2">
        <v>2.7185999999999998E-2</v>
      </c>
      <c r="J16" s="1" t="s">
        <v>1</v>
      </c>
      <c r="K16" s="1" t="s">
        <v>1</v>
      </c>
      <c r="L16" s="2">
        <v>0.15952709066142001</v>
      </c>
      <c r="M16" s="2">
        <v>0.63595570907447496</v>
      </c>
      <c r="N16" s="1" t="s">
        <v>143</v>
      </c>
    </row>
    <row r="17" spans="1:14" ht="57.6" x14ac:dyDescent="0.3">
      <c r="A17" s="1" t="s">
        <v>159</v>
      </c>
      <c r="B17" s="1" t="s">
        <v>159</v>
      </c>
      <c r="C17" s="2">
        <v>248400</v>
      </c>
      <c r="D17" s="2">
        <v>143</v>
      </c>
      <c r="E17" s="2">
        <v>74.400000000000006</v>
      </c>
      <c r="F17" s="2">
        <v>0.98</v>
      </c>
      <c r="G17" s="2">
        <v>3.5521200000000003E-2</v>
      </c>
      <c r="H17" s="2">
        <v>1.8480960000000001E-2</v>
      </c>
      <c r="I17" s="2">
        <v>0.24343200000000001</v>
      </c>
      <c r="J17" s="1" t="s">
        <v>1</v>
      </c>
      <c r="K17" s="1" t="s">
        <v>1</v>
      </c>
      <c r="L17" s="2">
        <v>2.0114989502688698</v>
      </c>
      <c r="M17" s="2">
        <v>8.0188526971624103</v>
      </c>
      <c r="N17" s="1" t="s">
        <v>143</v>
      </c>
    </row>
    <row r="18" spans="1:14" ht="43.2" x14ac:dyDescent="0.3">
      <c r="A18" s="1" t="s">
        <v>160</v>
      </c>
      <c r="B18" s="1" t="s">
        <v>160</v>
      </c>
      <c r="C18" s="2">
        <v>78600</v>
      </c>
      <c r="D18" s="2">
        <v>135</v>
      </c>
      <c r="E18" s="2">
        <v>59.5</v>
      </c>
      <c r="F18" s="2">
        <v>1.06</v>
      </c>
      <c r="G18" s="2">
        <v>1.0611000000000001E-2</v>
      </c>
      <c r="H18" s="2">
        <v>4.6766999999999998E-3</v>
      </c>
      <c r="I18" s="2">
        <v>8.3316000000000001E-2</v>
      </c>
      <c r="J18" s="1" t="s">
        <v>1</v>
      </c>
      <c r="K18" s="1" t="s">
        <v>1</v>
      </c>
      <c r="L18" s="2">
        <v>0.63648879827348404</v>
      </c>
      <c r="M18" s="2">
        <v>2.53736643316009</v>
      </c>
      <c r="N18" s="1" t="s">
        <v>143</v>
      </c>
    </row>
    <row r="19" spans="1:14" s="4" customFormat="1" ht="57.6" x14ac:dyDescent="0.3">
      <c r="A19" s="5" t="s">
        <v>161</v>
      </c>
      <c r="B19" s="5" t="s">
        <v>161</v>
      </c>
      <c r="C19" s="6">
        <v>175600</v>
      </c>
      <c r="D19" s="6">
        <v>183</v>
      </c>
      <c r="E19" s="6">
        <v>166</v>
      </c>
      <c r="F19" s="6">
        <v>1.1499999999999999</v>
      </c>
      <c r="G19" s="6">
        <v>3.2134799999999998E-2</v>
      </c>
      <c r="H19" s="6">
        <v>2.9149600000000001E-2</v>
      </c>
      <c r="I19" s="6">
        <v>0.20194000000000001</v>
      </c>
      <c r="J19" s="5" t="s">
        <v>1</v>
      </c>
      <c r="K19" s="5" t="s">
        <v>21</v>
      </c>
      <c r="L19" s="6">
        <v>1.4219775187891099</v>
      </c>
      <c r="M19" s="6">
        <v>5.6687219549988699</v>
      </c>
      <c r="N19" s="5" t="s">
        <v>143</v>
      </c>
    </row>
    <row r="20" spans="1:14" ht="43.2" x14ac:dyDescent="0.3">
      <c r="A20" s="1" t="s">
        <v>162</v>
      </c>
      <c r="B20" s="1" t="s">
        <v>162</v>
      </c>
      <c r="C20" s="2">
        <v>78600</v>
      </c>
      <c r="D20" s="2">
        <v>66.5</v>
      </c>
      <c r="E20" s="2">
        <v>40</v>
      </c>
      <c r="F20" s="2">
        <v>1.1000000000000001</v>
      </c>
      <c r="G20" s="2">
        <v>5.2268999999999996E-3</v>
      </c>
      <c r="H20" s="2">
        <v>3.1440000000000001E-3</v>
      </c>
      <c r="I20" s="2">
        <v>8.6459999999999995E-2</v>
      </c>
      <c r="J20" s="1" t="s">
        <v>1</v>
      </c>
      <c r="K20" s="1" t="s">
        <v>1</v>
      </c>
      <c r="L20" s="2">
        <v>0.63648879827348404</v>
      </c>
      <c r="M20" s="2">
        <v>2.53736643316009</v>
      </c>
      <c r="N20" s="1" t="s">
        <v>143</v>
      </c>
    </row>
    <row r="21" spans="1:14" ht="43.2" x14ac:dyDescent="0.3">
      <c r="A21" s="1" t="s">
        <v>163</v>
      </c>
      <c r="B21" s="1" t="s">
        <v>163</v>
      </c>
      <c r="C21" s="2">
        <v>31700</v>
      </c>
      <c r="D21" s="2">
        <v>43.3</v>
      </c>
      <c r="E21" s="2">
        <v>28.2</v>
      </c>
      <c r="F21" s="2">
        <v>0.83</v>
      </c>
      <c r="G21" s="2">
        <v>1.37261E-3</v>
      </c>
      <c r="H21" s="2">
        <v>8.9393999999999997E-4</v>
      </c>
      <c r="I21" s="2">
        <v>2.6311000000000001E-2</v>
      </c>
      <c r="J21" s="1" t="s">
        <v>1</v>
      </c>
      <c r="K21" s="1" t="s">
        <v>1</v>
      </c>
      <c r="L21" s="2">
        <v>0.25670095299325002</v>
      </c>
      <c r="M21" s="2">
        <v>1.02333989734319</v>
      </c>
      <c r="N21" s="1" t="s">
        <v>143</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zoomScale="70" zoomScaleNormal="70" workbookViewId="0">
      <selection activeCell="F10" sqref="F10"/>
    </sheetView>
  </sheetViews>
  <sheetFormatPr defaultRowHeight="14.4" x14ac:dyDescent="0.3"/>
  <cols>
    <col min="1" max="1" width="16.21875" bestFit="1" customWidth="1"/>
    <col min="2" max="2" width="20.33203125" bestFit="1" customWidth="1"/>
    <col min="3" max="3" width="11.5546875" bestFit="1" customWidth="1"/>
    <col min="5" max="6" width="14.6640625" bestFit="1" customWidth="1"/>
    <col min="7" max="7" width="14.6640625" customWidth="1"/>
    <col min="8" max="9" width="11.6640625" bestFit="1" customWidth="1"/>
    <col min="10" max="10" width="11.5546875" bestFit="1" customWidth="1"/>
    <col min="11" max="11" width="54.6640625" bestFit="1" customWidth="1"/>
  </cols>
  <sheetData>
    <row r="1" spans="1:15" x14ac:dyDescent="0.3">
      <c r="A1" t="s">
        <v>251</v>
      </c>
      <c r="B1" t="s">
        <v>244</v>
      </c>
      <c r="C1" t="s">
        <v>206</v>
      </c>
      <c r="D1" t="s">
        <v>207</v>
      </c>
      <c r="E1" t="s">
        <v>208</v>
      </c>
      <c r="F1" t="s">
        <v>209</v>
      </c>
      <c r="G1" t="s">
        <v>214</v>
      </c>
      <c r="H1" t="s">
        <v>211</v>
      </c>
      <c r="I1" t="s">
        <v>212</v>
      </c>
      <c r="J1" t="s">
        <v>213</v>
      </c>
      <c r="K1" t="s">
        <v>210</v>
      </c>
      <c r="L1" t="s">
        <v>245</v>
      </c>
      <c r="M1" t="s">
        <v>246</v>
      </c>
      <c r="N1" t="s">
        <v>247</v>
      </c>
      <c r="O1" t="s">
        <v>248</v>
      </c>
    </row>
    <row r="2" spans="1:15" x14ac:dyDescent="0.3">
      <c r="A2" t="s">
        <v>144</v>
      </c>
      <c r="B2" t="s">
        <v>144</v>
      </c>
      <c r="C2" t="s">
        <v>143</v>
      </c>
      <c r="D2" s="7">
        <v>43222</v>
      </c>
      <c r="E2" s="8">
        <v>42857.541666666664</v>
      </c>
      <c r="F2" s="12">
        <v>42864.59375</v>
      </c>
      <c r="K2" t="s">
        <v>240</v>
      </c>
      <c r="L2" s="14">
        <v>584300</v>
      </c>
      <c r="M2" s="15">
        <v>5.7469649999999997E-2</v>
      </c>
      <c r="N2" s="15">
        <v>1.488401E-2</v>
      </c>
      <c r="O2" s="15">
        <v>0.42837800000000004</v>
      </c>
    </row>
    <row r="3" spans="1:15" s="19" customFormat="1" x14ac:dyDescent="0.3">
      <c r="A3" s="19" t="s">
        <v>148</v>
      </c>
      <c r="B3" s="19" t="s">
        <v>148</v>
      </c>
      <c r="C3" s="19" t="s">
        <v>143</v>
      </c>
      <c r="D3" s="20">
        <v>43229</v>
      </c>
      <c r="E3" s="12">
        <v>42864.604166666664</v>
      </c>
      <c r="F3" s="12">
        <v>42871.479166666664</v>
      </c>
      <c r="G3" s="19">
        <v>197100</v>
      </c>
      <c r="H3" s="9">
        <v>1.5925680000000001E-2</v>
      </c>
      <c r="I3" s="9">
        <v>7.0758899999999996E-3</v>
      </c>
      <c r="J3" s="9">
        <v>0.13994100000000001</v>
      </c>
    </row>
    <row r="4" spans="1:15" x14ac:dyDescent="0.3">
      <c r="A4" t="s">
        <v>149</v>
      </c>
      <c r="B4" t="s">
        <v>149</v>
      </c>
      <c r="C4" t="s">
        <v>143</v>
      </c>
      <c r="D4" s="7">
        <v>43236</v>
      </c>
      <c r="E4" s="8">
        <v>42871.489583333336</v>
      </c>
      <c r="F4" s="8">
        <v>42878.416666666664</v>
      </c>
      <c r="G4">
        <v>51300</v>
      </c>
      <c r="H4" s="9">
        <v>2.5496099999999999E-3</v>
      </c>
      <c r="I4" s="9">
        <v>8.208E-4</v>
      </c>
      <c r="J4" s="9">
        <v>4.0014000000000001E-2</v>
      </c>
    </row>
    <row r="5" spans="1:15" x14ac:dyDescent="0.3">
      <c r="A5" t="s">
        <v>150</v>
      </c>
      <c r="B5" t="s">
        <v>150</v>
      </c>
      <c r="C5" t="s">
        <v>143</v>
      </c>
      <c r="D5" s="7">
        <v>43243</v>
      </c>
      <c r="E5" s="8">
        <v>42878.427083333336</v>
      </c>
      <c r="F5" s="8">
        <v>42885.427083333336</v>
      </c>
      <c r="G5">
        <v>30900</v>
      </c>
      <c r="H5" s="9">
        <v>2.75319E-3</v>
      </c>
      <c r="I5" s="9">
        <v>7.1069999999999998E-4</v>
      </c>
      <c r="J5" s="9">
        <v>2.9354999999999999E-2</v>
      </c>
    </row>
    <row r="6" spans="1:15" x14ac:dyDescent="0.3">
      <c r="A6" t="s">
        <v>151</v>
      </c>
      <c r="B6" t="s">
        <v>151</v>
      </c>
      <c r="C6" t="s">
        <v>143</v>
      </c>
      <c r="D6" s="7">
        <v>43250</v>
      </c>
      <c r="E6" s="8">
        <v>42885.4375</v>
      </c>
      <c r="F6" s="8">
        <v>42892.5</v>
      </c>
      <c r="G6">
        <v>17300</v>
      </c>
      <c r="H6">
        <v>8.0444999999999996E-4</v>
      </c>
      <c r="I6">
        <v>1.4878E-4</v>
      </c>
      <c r="J6">
        <v>1.3667E-2</v>
      </c>
    </row>
    <row r="7" spans="1:15" x14ac:dyDescent="0.3">
      <c r="A7" t="s">
        <v>152</v>
      </c>
      <c r="B7" t="s">
        <v>152</v>
      </c>
      <c r="C7" t="s">
        <v>143</v>
      </c>
      <c r="D7" s="7">
        <v>43257</v>
      </c>
      <c r="E7" s="8">
        <v>42892.510416666664</v>
      </c>
      <c r="F7" s="8">
        <v>42899.489583333336</v>
      </c>
      <c r="G7">
        <v>21200</v>
      </c>
      <c r="H7">
        <v>3.392E-3</v>
      </c>
      <c r="I7">
        <v>6.5932000000000002E-4</v>
      </c>
      <c r="J7">
        <v>2.6499999999999999E-2</v>
      </c>
      <c r="K7" t="s">
        <v>253</v>
      </c>
    </row>
    <row r="8" spans="1:15" x14ac:dyDescent="0.3">
      <c r="A8" t="s">
        <v>153</v>
      </c>
      <c r="B8" t="s">
        <v>153</v>
      </c>
      <c r="C8" t="s">
        <v>143</v>
      </c>
      <c r="D8" s="7">
        <v>43264</v>
      </c>
      <c r="E8" s="8">
        <v>42899.5</v>
      </c>
      <c r="F8" s="8">
        <v>42908.447916666664</v>
      </c>
      <c r="G8">
        <v>600</v>
      </c>
      <c r="H8">
        <v>4.2719999999999998E-5</v>
      </c>
      <c r="J8">
        <v>7.9799999999999999E-4</v>
      </c>
      <c r="N8" s="14">
        <v>-999</v>
      </c>
    </row>
    <row r="9" spans="1:15" s="19" customFormat="1" x14ac:dyDescent="0.3">
      <c r="A9" t="s">
        <v>155</v>
      </c>
      <c r="B9" t="s">
        <v>241</v>
      </c>
      <c r="C9" t="s">
        <v>143</v>
      </c>
      <c r="D9" s="7">
        <v>43273</v>
      </c>
      <c r="E9" s="8">
        <v>42908.458333333336</v>
      </c>
      <c r="F9" s="8">
        <v>42910.145833333336</v>
      </c>
      <c r="G9" s="22"/>
      <c r="K9" t="s">
        <v>250</v>
      </c>
      <c r="L9" s="19" t="s">
        <v>252</v>
      </c>
      <c r="M9" s="14">
        <v>1.64271E-2</v>
      </c>
      <c r="N9" s="14">
        <v>4.80928E-3</v>
      </c>
      <c r="O9" s="14">
        <v>0.13511399999999998</v>
      </c>
    </row>
    <row r="10" spans="1:15" s="19" customFormat="1" x14ac:dyDescent="0.3">
      <c r="A10" t="s">
        <v>159</v>
      </c>
      <c r="B10" t="s">
        <v>159</v>
      </c>
      <c r="C10" t="s">
        <v>143</v>
      </c>
      <c r="D10" s="7">
        <v>43278</v>
      </c>
      <c r="E10" s="12">
        <v>42916.59375</v>
      </c>
      <c r="F10" s="8">
        <v>42921.5</v>
      </c>
      <c r="K10" t="s">
        <v>292</v>
      </c>
      <c r="L10" s="19" t="s">
        <v>252</v>
      </c>
      <c r="M10" s="14">
        <v>3.5521200000000003E-2</v>
      </c>
      <c r="N10" s="14">
        <v>1.8480960000000001E-2</v>
      </c>
      <c r="O10" s="14">
        <v>0.24343200000000001</v>
      </c>
    </row>
    <row r="11" spans="1:15" x14ac:dyDescent="0.3">
      <c r="A11" t="s">
        <v>160</v>
      </c>
      <c r="B11" t="s">
        <v>160</v>
      </c>
      <c r="C11" t="s">
        <v>143</v>
      </c>
      <c r="D11" s="7">
        <v>43286</v>
      </c>
      <c r="E11" s="8">
        <v>42921.510416666664</v>
      </c>
      <c r="F11" s="8">
        <v>42927.583333333336</v>
      </c>
      <c r="G11">
        <v>78600</v>
      </c>
      <c r="H11">
        <v>1.0611000000000001E-2</v>
      </c>
      <c r="I11">
        <v>4.6766999999999998E-3</v>
      </c>
      <c r="J11">
        <v>8.3316000000000001E-2</v>
      </c>
    </row>
    <row r="12" spans="1:15" s="4" customFormat="1" x14ac:dyDescent="0.3">
      <c r="A12" s="4" t="s">
        <v>161</v>
      </c>
      <c r="B12" s="4" t="s">
        <v>161</v>
      </c>
      <c r="C12" s="4" t="s">
        <v>143</v>
      </c>
      <c r="D12" s="16">
        <v>43292</v>
      </c>
      <c r="E12" s="17">
        <v>42927.59375</v>
      </c>
      <c r="F12" s="17">
        <v>42934.583333333336</v>
      </c>
      <c r="K12" s="4" t="s">
        <v>242</v>
      </c>
      <c r="L12" s="4">
        <v>175600</v>
      </c>
      <c r="M12" s="4">
        <v>3.2134799999999998E-2</v>
      </c>
      <c r="N12" s="4">
        <v>2.9149600000000001E-2</v>
      </c>
      <c r="O12" s="4">
        <v>0.20194000000000001</v>
      </c>
    </row>
    <row r="13" spans="1:15" x14ac:dyDescent="0.3">
      <c r="A13" t="s">
        <v>162</v>
      </c>
      <c r="B13" t="s">
        <v>162</v>
      </c>
      <c r="C13" t="s">
        <v>143</v>
      </c>
      <c r="D13" s="7">
        <v>43299</v>
      </c>
      <c r="E13" s="8">
        <v>42934.59375</v>
      </c>
      <c r="F13" s="8">
        <v>42942.510416666664</v>
      </c>
      <c r="G13">
        <v>78600</v>
      </c>
      <c r="H13">
        <v>5.2268999999999996E-3</v>
      </c>
      <c r="I13">
        <v>3.1440000000000001E-3</v>
      </c>
      <c r="J13">
        <v>8.6459999999999995E-2</v>
      </c>
    </row>
    <row r="14" spans="1:15" x14ac:dyDescent="0.3">
      <c r="A14" t="s">
        <v>163</v>
      </c>
      <c r="B14" t="s">
        <v>163</v>
      </c>
      <c r="C14" t="s">
        <v>143</v>
      </c>
      <c r="D14" s="7">
        <v>43307</v>
      </c>
      <c r="E14" s="8">
        <v>42942.520833333336</v>
      </c>
      <c r="F14" s="8">
        <v>42948.145833333336</v>
      </c>
      <c r="G14">
        <v>31700</v>
      </c>
      <c r="H14">
        <v>1.37261E-3</v>
      </c>
      <c r="I14">
        <v>8.9393999999999997E-4</v>
      </c>
      <c r="J14">
        <v>2.6311000000000001E-2</v>
      </c>
    </row>
    <row r="15" spans="1:15" x14ac:dyDescent="0.3">
      <c r="A15" s="11"/>
      <c r="B15" s="11"/>
      <c r="C15" s="9"/>
      <c r="E15" s="11"/>
      <c r="F15" s="11"/>
      <c r="G15" s="11"/>
      <c r="H15" s="9"/>
      <c r="I15" s="9"/>
    </row>
    <row r="16" spans="1:15" x14ac:dyDescent="0.3">
      <c r="A16" s="11"/>
      <c r="B16" s="11"/>
      <c r="C16" s="9"/>
      <c r="E16" s="11"/>
      <c r="F16" s="11"/>
      <c r="G16" s="11"/>
      <c r="H16" s="9"/>
      <c r="I16" s="9"/>
    </row>
    <row r="17" spans="1:9" x14ac:dyDescent="0.3">
      <c r="A17" s="11"/>
      <c r="B17" s="11"/>
      <c r="C17" s="9"/>
      <c r="E17" s="11"/>
      <c r="F17" s="11"/>
      <c r="G17" s="11"/>
      <c r="H17" s="9"/>
      <c r="I17" s="9"/>
    </row>
    <row r="18" spans="1:9" x14ac:dyDescent="0.3">
      <c r="A18" s="11"/>
      <c r="B18" s="11"/>
      <c r="C18" s="9"/>
      <c r="E18" s="11"/>
      <c r="F18" s="11"/>
      <c r="G18" s="11"/>
      <c r="H18" s="9"/>
      <c r="I18" s="9"/>
    </row>
    <row r="19" spans="1:9" x14ac:dyDescent="0.3">
      <c r="A19" s="11"/>
      <c r="B19" s="11"/>
      <c r="C19" s="9"/>
      <c r="E19" s="11"/>
      <c r="F19" s="11"/>
      <c r="G19" s="11"/>
      <c r="H19" s="9"/>
      <c r="I19" s="9"/>
    </row>
    <row r="20" spans="1:9" x14ac:dyDescent="0.3">
      <c r="A20" s="11"/>
      <c r="B20" s="11"/>
      <c r="C20" s="9"/>
      <c r="E20" s="11"/>
      <c r="F20" s="11"/>
      <c r="G20" s="11"/>
      <c r="H20" s="9"/>
      <c r="I20" s="9"/>
    </row>
    <row r="21" spans="1:9" x14ac:dyDescent="0.3">
      <c r="A21" s="11"/>
      <c r="B21" s="11"/>
      <c r="C21" s="9"/>
      <c r="E21" s="11"/>
      <c r="F21" s="11"/>
      <c r="G21" s="11"/>
      <c r="H21" s="9"/>
      <c r="I21" s="9"/>
    </row>
    <row r="22" spans="1:9" x14ac:dyDescent="0.3">
      <c r="A22" s="11"/>
      <c r="B22" s="11"/>
      <c r="C22" s="9"/>
      <c r="E22" s="11"/>
      <c r="F22" s="11"/>
      <c r="G22" s="11"/>
      <c r="H22" s="9"/>
      <c r="I22" s="9"/>
    </row>
    <row r="23" spans="1:9" x14ac:dyDescent="0.3">
      <c r="A23" s="11"/>
      <c r="B23" s="11"/>
      <c r="C23" s="9"/>
      <c r="E23" s="11"/>
      <c r="F23" s="11"/>
      <c r="G23" s="11"/>
      <c r="H23" s="9"/>
    </row>
    <row r="24" spans="1:9" x14ac:dyDescent="0.3">
      <c r="A24" s="11"/>
      <c r="B24" s="11"/>
      <c r="C24" s="9"/>
      <c r="F24" s="11"/>
      <c r="G24" s="11"/>
      <c r="H24" s="9"/>
    </row>
    <row r="25" spans="1:9" x14ac:dyDescent="0.3">
      <c r="A25" s="11"/>
      <c r="B25" s="11"/>
      <c r="C25" s="9"/>
      <c r="F25" s="11"/>
      <c r="G25" s="11"/>
      <c r="H25" s="9"/>
    </row>
    <row r="26" spans="1:9" x14ac:dyDescent="0.3">
      <c r="A26" s="11"/>
      <c r="B26" s="11"/>
      <c r="C26" s="9"/>
      <c r="F26" s="11"/>
      <c r="G26" s="11"/>
      <c r="H26" s="9"/>
    </row>
    <row r="27" spans="1:9" x14ac:dyDescent="0.3">
      <c r="A27" s="11"/>
      <c r="B27" s="11"/>
      <c r="C27" s="9"/>
      <c r="F27" s="11"/>
      <c r="G27" s="11"/>
      <c r="H27" s="9"/>
    </row>
    <row r="28" spans="1:9" x14ac:dyDescent="0.3">
      <c r="A28" s="11"/>
      <c r="B28" s="11"/>
      <c r="C28" s="9"/>
      <c r="F28" s="11"/>
      <c r="G28" s="11"/>
      <c r="H28" s="9"/>
    </row>
    <row r="29" spans="1:9" x14ac:dyDescent="0.3">
      <c r="A29" s="11"/>
      <c r="B29" s="11"/>
      <c r="C29" s="9"/>
      <c r="F29" s="11"/>
      <c r="G29" s="11"/>
      <c r="H29" s="9"/>
    </row>
    <row r="30" spans="1:9" x14ac:dyDescent="0.3">
      <c r="A30" s="11"/>
      <c r="B30" s="11"/>
      <c r="C30" s="9"/>
      <c r="F30" s="11"/>
      <c r="G30" s="11"/>
      <c r="H30" s="9"/>
    </row>
    <row r="31" spans="1:9" x14ac:dyDescent="0.3">
      <c r="A31" s="11"/>
      <c r="B31" s="11"/>
      <c r="C31" s="9"/>
    </row>
    <row r="32" spans="1:9" x14ac:dyDescent="0.3">
      <c r="A32" s="11"/>
      <c r="B32" s="11"/>
      <c r="C32" s="9"/>
    </row>
    <row r="33" spans="1:3" x14ac:dyDescent="0.3">
      <c r="A33" s="11"/>
      <c r="B33" s="11"/>
      <c r="C33" s="9"/>
    </row>
    <row r="34" spans="1:3" x14ac:dyDescent="0.3">
      <c r="A34" s="11"/>
      <c r="B34" s="11"/>
      <c r="C34" s="9"/>
    </row>
    <row r="35" spans="1:3" x14ac:dyDescent="0.3">
      <c r="A35" s="11"/>
      <c r="B35" s="11"/>
      <c r="C35" s="9"/>
    </row>
    <row r="36" spans="1:3" x14ac:dyDescent="0.3">
      <c r="A36" s="11"/>
      <c r="B36" s="11"/>
      <c r="C36" s="9"/>
    </row>
    <row r="37" spans="1:3" x14ac:dyDescent="0.3">
      <c r="A37" s="11"/>
      <c r="B37" s="11"/>
      <c r="C37" s="9"/>
    </row>
    <row r="38" spans="1:3" x14ac:dyDescent="0.3">
      <c r="A38" s="11"/>
      <c r="B38" s="11"/>
      <c r="C38" s="9"/>
    </row>
    <row r="39" spans="1:3" x14ac:dyDescent="0.3">
      <c r="A39" s="11"/>
      <c r="B39" s="11"/>
      <c r="C39" s="9"/>
    </row>
    <row r="40" spans="1:3" x14ac:dyDescent="0.3">
      <c r="A40" s="11"/>
      <c r="B40" s="11"/>
      <c r="C40" s="9"/>
    </row>
    <row r="41" spans="1:3" x14ac:dyDescent="0.3">
      <c r="A41" s="11"/>
      <c r="B41" s="11"/>
      <c r="C41" s="9"/>
    </row>
  </sheetData>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opLeftCell="A2" zoomScale="60" zoomScaleNormal="60" workbookViewId="0">
      <selection activeCell="C16" sqref="C16"/>
    </sheetView>
  </sheetViews>
  <sheetFormatPr defaultRowHeight="14.4" x14ac:dyDescent="0.3"/>
  <sheetData>
    <row r="1" spans="1:14" x14ac:dyDescent="0.3">
      <c r="A1" s="3" t="s">
        <v>23</v>
      </c>
      <c r="B1" s="3" t="s">
        <v>24</v>
      </c>
      <c r="C1" s="3" t="s">
        <v>25</v>
      </c>
      <c r="D1" s="3" t="s">
        <v>26</v>
      </c>
      <c r="E1" s="3" t="s">
        <v>27</v>
      </c>
      <c r="F1" s="3" t="s">
        <v>28</v>
      </c>
      <c r="G1" s="3" t="s">
        <v>29</v>
      </c>
      <c r="H1" s="3" t="s">
        <v>30</v>
      </c>
      <c r="I1" s="3" t="s">
        <v>31</v>
      </c>
      <c r="J1" s="3" t="s">
        <v>32</v>
      </c>
      <c r="K1" s="3" t="s">
        <v>33</v>
      </c>
      <c r="L1" s="3" t="s">
        <v>34</v>
      </c>
      <c r="M1" s="3" t="s">
        <v>35</v>
      </c>
      <c r="N1" s="3" t="s">
        <v>36</v>
      </c>
    </row>
    <row r="2" spans="1:14" ht="43.2" x14ac:dyDescent="0.3">
      <c r="A2" s="1" t="s">
        <v>164</v>
      </c>
      <c r="B2" s="1" t="s">
        <v>164</v>
      </c>
      <c r="C2" s="2">
        <v>360400</v>
      </c>
      <c r="D2" s="2">
        <v>56</v>
      </c>
      <c r="E2" s="2">
        <v>21.1</v>
      </c>
      <c r="F2" s="2">
        <v>1.1000000000000001</v>
      </c>
      <c r="G2" s="2">
        <v>2.01824E-2</v>
      </c>
      <c r="H2" s="2">
        <v>7.6044399999999996E-3</v>
      </c>
      <c r="I2" s="2">
        <v>0.39644000000000001</v>
      </c>
      <c r="J2" s="1" t="s">
        <v>1</v>
      </c>
      <c r="K2" s="1" t="s">
        <v>1</v>
      </c>
      <c r="L2" s="2">
        <v>2.5744146710646398</v>
      </c>
      <c r="M2" s="2">
        <v>9.8228400109021496</v>
      </c>
      <c r="N2" s="1" t="s">
        <v>165</v>
      </c>
    </row>
    <row r="3" spans="1:14" ht="43.2" x14ac:dyDescent="0.3">
      <c r="A3" s="1" t="s">
        <v>166</v>
      </c>
      <c r="B3" s="1" t="s">
        <v>166</v>
      </c>
      <c r="C3" s="2">
        <v>108800</v>
      </c>
      <c r="D3" s="2">
        <v>40.1</v>
      </c>
      <c r="E3" s="2">
        <v>29.1</v>
      </c>
      <c r="F3" s="2">
        <v>0.76</v>
      </c>
      <c r="G3" s="2">
        <v>4.3628800000000004E-3</v>
      </c>
      <c r="H3" s="2">
        <v>3.1660799999999999E-3</v>
      </c>
      <c r="I3" s="2">
        <v>8.2687999999999998E-2</v>
      </c>
      <c r="J3" s="1" t="s">
        <v>1</v>
      </c>
      <c r="K3" s="1" t="s">
        <v>1</v>
      </c>
      <c r="L3" s="2">
        <v>0.77718178749121103</v>
      </c>
      <c r="M3" s="2">
        <v>2.9653856636685698</v>
      </c>
      <c r="N3" s="1" t="s">
        <v>165</v>
      </c>
    </row>
    <row r="4" spans="1:14" ht="43.2" x14ac:dyDescent="0.3">
      <c r="A4" s="1" t="s">
        <v>167</v>
      </c>
      <c r="B4" s="1" t="s">
        <v>167</v>
      </c>
      <c r="C4" s="2">
        <v>100000</v>
      </c>
      <c r="D4" s="2">
        <v>20.9</v>
      </c>
      <c r="E4" s="2">
        <v>12.2</v>
      </c>
      <c r="F4" s="2">
        <v>0.61</v>
      </c>
      <c r="G4" s="2">
        <v>2.0899999999999998E-3</v>
      </c>
      <c r="H4" s="2">
        <v>1.2199999999999999E-3</v>
      </c>
      <c r="I4" s="2">
        <v>6.0999999999999999E-2</v>
      </c>
      <c r="J4" s="1" t="s">
        <v>1</v>
      </c>
      <c r="K4" s="1" t="s">
        <v>1</v>
      </c>
      <c r="L4" s="2">
        <v>0.714321495855892</v>
      </c>
      <c r="M4" s="2">
        <v>2.7255382938130301</v>
      </c>
      <c r="N4" s="1" t="s">
        <v>165</v>
      </c>
    </row>
    <row r="5" spans="1:14" ht="43.2" x14ac:dyDescent="0.3">
      <c r="A5" s="1" t="s">
        <v>168</v>
      </c>
      <c r="B5" s="1" t="s">
        <v>168</v>
      </c>
      <c r="C5" s="2">
        <v>198400</v>
      </c>
      <c r="D5" s="2">
        <v>55.2</v>
      </c>
      <c r="E5" s="2">
        <v>20.399999999999999</v>
      </c>
      <c r="F5" s="2">
        <v>0.82</v>
      </c>
      <c r="G5" s="2">
        <v>1.095168E-2</v>
      </c>
      <c r="H5" s="2">
        <v>4.0473599999999998E-3</v>
      </c>
      <c r="I5" s="2">
        <v>0.162688</v>
      </c>
      <c r="J5" s="1" t="s">
        <v>1</v>
      </c>
      <c r="K5" s="1" t="s">
        <v>1</v>
      </c>
      <c r="L5" s="2">
        <v>1.41721384777809</v>
      </c>
      <c r="M5" s="2">
        <v>5.4074679749250496</v>
      </c>
      <c r="N5" s="1" t="s">
        <v>165</v>
      </c>
    </row>
    <row r="6" spans="1:14" ht="43.2" x14ac:dyDescent="0.3">
      <c r="A6" s="1" t="s">
        <v>169</v>
      </c>
      <c r="B6" s="1" t="s">
        <v>169</v>
      </c>
      <c r="C6" s="2">
        <v>194000</v>
      </c>
      <c r="D6" s="2">
        <v>17.600000000000001</v>
      </c>
      <c r="E6" s="2">
        <v>12.6</v>
      </c>
      <c r="F6" s="2">
        <v>0.45</v>
      </c>
      <c r="G6" s="2">
        <v>3.4144000000000002E-3</v>
      </c>
      <c r="H6" s="2">
        <v>2.4443999999999998E-3</v>
      </c>
      <c r="I6" s="2">
        <v>8.7300000000000003E-2</v>
      </c>
      <c r="J6" s="1" t="s">
        <v>1</v>
      </c>
      <c r="K6" s="1" t="s">
        <v>1</v>
      </c>
      <c r="L6" s="2">
        <v>1.38578370196043</v>
      </c>
      <c r="M6" s="2">
        <v>5.2875442899972702</v>
      </c>
      <c r="N6" s="1" t="s">
        <v>165</v>
      </c>
    </row>
    <row r="7" spans="1:14" ht="43.2" x14ac:dyDescent="0.3">
      <c r="A7" s="1" t="s">
        <v>170</v>
      </c>
      <c r="B7" s="1" t="s">
        <v>170</v>
      </c>
      <c r="C7" s="2">
        <v>51300</v>
      </c>
      <c r="D7" s="2">
        <v>54.6</v>
      </c>
      <c r="E7" s="2">
        <v>22.1</v>
      </c>
      <c r="F7" s="2">
        <v>1</v>
      </c>
      <c r="G7" s="2">
        <v>2.8009799999999998E-3</v>
      </c>
      <c r="H7" s="2">
        <v>1.1337299999999999E-3</v>
      </c>
      <c r="I7" s="2">
        <v>5.1299999999999998E-2</v>
      </c>
      <c r="J7" s="1" t="s">
        <v>1</v>
      </c>
      <c r="K7" s="1" t="s">
        <v>1</v>
      </c>
      <c r="L7" s="2">
        <v>0.36644692737407297</v>
      </c>
      <c r="M7" s="2">
        <v>1.39820114472608</v>
      </c>
      <c r="N7" s="1" t="s">
        <v>165</v>
      </c>
    </row>
    <row r="8" spans="1:14" ht="43.2" x14ac:dyDescent="0.3">
      <c r="A8" s="1" t="s">
        <v>171</v>
      </c>
      <c r="B8" s="1" t="s">
        <v>171</v>
      </c>
      <c r="C8" s="2">
        <v>30100</v>
      </c>
      <c r="D8" s="2">
        <v>21.8</v>
      </c>
      <c r="E8" s="2">
        <v>10.4</v>
      </c>
      <c r="F8" s="2">
        <v>0.49</v>
      </c>
      <c r="G8" s="2">
        <v>6.5618000000000002E-4</v>
      </c>
      <c r="H8" s="2">
        <v>3.1304E-4</v>
      </c>
      <c r="I8" s="2">
        <v>1.4749E-2</v>
      </c>
      <c r="J8" s="1" t="s">
        <v>1</v>
      </c>
      <c r="K8" s="1" t="s">
        <v>1</v>
      </c>
      <c r="L8" s="2">
        <v>0.215010770252624</v>
      </c>
      <c r="M8" s="2">
        <v>0.82038702643772099</v>
      </c>
      <c r="N8" s="1" t="s">
        <v>165</v>
      </c>
    </row>
    <row r="9" spans="1:14" ht="43.2" x14ac:dyDescent="0.3">
      <c r="A9" s="1" t="s">
        <v>172</v>
      </c>
      <c r="B9" s="1" t="s">
        <v>172</v>
      </c>
      <c r="C9" s="2">
        <v>10500</v>
      </c>
      <c r="D9" s="2">
        <v>81.099999999999994</v>
      </c>
      <c r="E9" s="2">
        <v>23.1</v>
      </c>
      <c r="F9" s="2">
        <v>0.91</v>
      </c>
      <c r="G9" s="2">
        <v>8.5154999999999996E-4</v>
      </c>
      <c r="H9" s="2">
        <v>2.4254999999999999E-4</v>
      </c>
      <c r="I9" s="2">
        <v>9.5549999999999993E-3</v>
      </c>
      <c r="J9" s="1" t="s">
        <v>1</v>
      </c>
      <c r="K9" s="1" t="s">
        <v>1</v>
      </c>
      <c r="L9" s="2">
        <v>7.5003757064868698E-2</v>
      </c>
      <c r="M9" s="2">
        <v>0.28618152085036802</v>
      </c>
      <c r="N9" s="1" t="s">
        <v>165</v>
      </c>
    </row>
    <row r="10" spans="1:14" ht="72" x14ac:dyDescent="0.3">
      <c r="A10" s="1" t="s">
        <v>173</v>
      </c>
      <c r="B10" s="1" t="s">
        <v>173</v>
      </c>
      <c r="C10" s="2">
        <v>3100</v>
      </c>
      <c r="D10" s="2">
        <v>151</v>
      </c>
      <c r="F10" s="2">
        <v>1.24</v>
      </c>
      <c r="G10" s="2">
        <v>4.6809999999999999E-4</v>
      </c>
      <c r="I10" s="2">
        <v>3.8440000000000002E-3</v>
      </c>
      <c r="J10" s="1" t="s">
        <v>9</v>
      </c>
      <c r="K10" s="1" t="s">
        <v>154</v>
      </c>
      <c r="L10" s="2">
        <v>2.2143966371532701E-2</v>
      </c>
      <c r="M10" s="2">
        <v>8.44916871082039E-2</v>
      </c>
      <c r="N10" s="1" t="s">
        <v>165</v>
      </c>
    </row>
    <row r="11" spans="1:14" ht="43.2" x14ac:dyDescent="0.3">
      <c r="A11" s="1" t="s">
        <v>174</v>
      </c>
      <c r="B11" s="1" t="s">
        <v>174</v>
      </c>
      <c r="C11" s="2">
        <v>18400</v>
      </c>
      <c r="D11" s="2">
        <v>163</v>
      </c>
      <c r="E11" s="2">
        <v>73.7</v>
      </c>
      <c r="F11" s="2">
        <v>2.04</v>
      </c>
      <c r="G11" s="2">
        <v>2.9992E-3</v>
      </c>
      <c r="H11" s="2">
        <v>1.35608E-3</v>
      </c>
      <c r="I11" s="2">
        <v>3.7536E-2</v>
      </c>
      <c r="J11" s="1" t="s">
        <v>1</v>
      </c>
      <c r="K11" s="1" t="s">
        <v>1</v>
      </c>
      <c r="L11" s="2">
        <v>0.131435155237484</v>
      </c>
      <c r="M11" s="2">
        <v>0.50149904606159701</v>
      </c>
      <c r="N11" s="1" t="s">
        <v>165</v>
      </c>
    </row>
    <row r="12" spans="1:14" ht="43.2" x14ac:dyDescent="0.3">
      <c r="A12" s="1" t="s">
        <v>175</v>
      </c>
      <c r="B12" s="1" t="s">
        <v>175</v>
      </c>
      <c r="C12" s="2">
        <v>20300</v>
      </c>
      <c r="D12" s="2">
        <v>52.2</v>
      </c>
      <c r="E12" s="2">
        <v>39.4</v>
      </c>
      <c r="F12" s="2">
        <v>0.88</v>
      </c>
      <c r="G12" s="2">
        <v>1.05966E-3</v>
      </c>
      <c r="H12" s="2">
        <v>7.9982000000000002E-4</v>
      </c>
      <c r="I12" s="2">
        <v>1.7864000000000001E-2</v>
      </c>
      <c r="J12" s="1" t="s">
        <v>1</v>
      </c>
      <c r="K12" s="1" t="s">
        <v>1</v>
      </c>
      <c r="L12" s="2">
        <v>0.145007263658746</v>
      </c>
      <c r="M12" s="2">
        <v>0.55328427364404498</v>
      </c>
      <c r="N12" s="1" t="s">
        <v>165</v>
      </c>
    </row>
    <row r="13" spans="1:14" ht="43.2" x14ac:dyDescent="0.3">
      <c r="A13" s="1" t="s">
        <v>176</v>
      </c>
      <c r="B13" s="1" t="s">
        <v>176</v>
      </c>
      <c r="C13" s="2">
        <v>39900</v>
      </c>
      <c r="D13" s="2">
        <v>51.8</v>
      </c>
      <c r="E13" s="2">
        <v>40.9</v>
      </c>
      <c r="F13" s="2">
        <v>0.94</v>
      </c>
      <c r="G13" s="2">
        <v>2.06682E-3</v>
      </c>
      <c r="H13" s="2">
        <v>1.6319100000000001E-3</v>
      </c>
      <c r="I13" s="2">
        <v>3.7505999999999998E-2</v>
      </c>
      <c r="J13" s="1" t="s">
        <v>1</v>
      </c>
      <c r="K13" s="1" t="s">
        <v>1</v>
      </c>
      <c r="L13" s="2">
        <v>0.28501427684650099</v>
      </c>
      <c r="M13" s="2">
        <v>1.0874897792314</v>
      </c>
      <c r="N13" s="1" t="s">
        <v>165</v>
      </c>
    </row>
    <row r="14" spans="1:14" ht="57.6" x14ac:dyDescent="0.3">
      <c r="A14" s="1" t="s">
        <v>177</v>
      </c>
      <c r="B14" s="1" t="s">
        <v>177</v>
      </c>
      <c r="C14" s="2">
        <v>295400</v>
      </c>
      <c r="D14" s="2">
        <v>41.4</v>
      </c>
      <c r="E14" s="2">
        <v>31.3</v>
      </c>
      <c r="F14" s="2">
        <v>0.71</v>
      </c>
      <c r="G14" s="2">
        <v>1.222956E-2</v>
      </c>
      <c r="H14" s="2">
        <v>9.2460200000000006E-3</v>
      </c>
      <c r="I14" s="2">
        <v>0.209734</v>
      </c>
      <c r="J14" s="1" t="s">
        <v>1</v>
      </c>
      <c r="K14" s="1" t="s">
        <v>1</v>
      </c>
      <c r="L14" s="2">
        <v>2.1101056987583</v>
      </c>
      <c r="M14" s="2">
        <v>8.0512401199236905</v>
      </c>
      <c r="N14" s="1" t="s">
        <v>165</v>
      </c>
    </row>
    <row r="15" spans="1:14" ht="43.2" x14ac:dyDescent="0.3">
      <c r="A15" s="1" t="s">
        <v>178</v>
      </c>
      <c r="B15" s="1" t="s">
        <v>178</v>
      </c>
      <c r="C15" s="2">
        <v>106800</v>
      </c>
      <c r="D15" s="2">
        <v>45.3</v>
      </c>
      <c r="E15" s="2">
        <v>21.8</v>
      </c>
      <c r="F15" s="2">
        <v>0.56999999999999995</v>
      </c>
      <c r="G15" s="2">
        <v>4.83804E-3</v>
      </c>
      <c r="H15" s="2">
        <v>2.3282400000000001E-3</v>
      </c>
      <c r="I15" s="2">
        <v>6.0876E-2</v>
      </c>
      <c r="J15" s="1" t="s">
        <v>1</v>
      </c>
      <c r="K15" s="1" t="s">
        <v>1</v>
      </c>
      <c r="L15" s="2">
        <v>0.76289535757409299</v>
      </c>
      <c r="M15" s="2">
        <v>2.91087489779231</v>
      </c>
      <c r="N15" s="1" t="s">
        <v>165</v>
      </c>
    </row>
    <row r="16" spans="1:14" ht="43.2" x14ac:dyDescent="0.3">
      <c r="A16" s="1" t="s">
        <v>179</v>
      </c>
      <c r="B16" s="1" t="s">
        <v>179</v>
      </c>
      <c r="C16" s="2">
        <v>293900</v>
      </c>
      <c r="D16" s="2">
        <v>79.3</v>
      </c>
      <c r="E16" s="2">
        <v>74.2</v>
      </c>
      <c r="F16" s="2">
        <v>1.05</v>
      </c>
      <c r="G16" s="2">
        <v>2.330627E-2</v>
      </c>
      <c r="H16" s="2">
        <v>2.1807380000000001E-2</v>
      </c>
      <c r="I16" s="2">
        <v>0.30859500000000001</v>
      </c>
      <c r="J16" s="1" t="s">
        <v>1</v>
      </c>
      <c r="K16" s="1" t="s">
        <v>1</v>
      </c>
      <c r="L16" s="2">
        <v>2.0993908763204701</v>
      </c>
      <c r="M16" s="2">
        <v>8.0103570455164892</v>
      </c>
      <c r="N16" s="1" t="s">
        <v>165</v>
      </c>
    </row>
    <row r="17" spans="1:14" ht="43.2" x14ac:dyDescent="0.3">
      <c r="A17" s="1" t="s">
        <v>180</v>
      </c>
      <c r="B17" s="1" t="s">
        <v>180</v>
      </c>
      <c r="C17" s="2">
        <v>144400</v>
      </c>
      <c r="D17" s="2">
        <v>29.3</v>
      </c>
      <c r="E17" s="2">
        <v>27.5</v>
      </c>
      <c r="F17" s="2">
        <v>0.73</v>
      </c>
      <c r="G17" s="2">
        <v>4.23092E-3</v>
      </c>
      <c r="H17" s="2">
        <v>3.9709999999999997E-3</v>
      </c>
      <c r="I17" s="2">
        <v>0.10541200000000001</v>
      </c>
      <c r="J17" s="1" t="s">
        <v>1</v>
      </c>
      <c r="K17" s="1" t="s">
        <v>1</v>
      </c>
      <c r="L17" s="2">
        <v>1.03148024001591</v>
      </c>
      <c r="M17" s="2">
        <v>3.93567729626601</v>
      </c>
      <c r="N17" s="1" t="s">
        <v>165</v>
      </c>
    </row>
    <row r="18" spans="1:14" ht="43.2" x14ac:dyDescent="0.3">
      <c r="A18" s="1" t="s">
        <v>181</v>
      </c>
      <c r="B18" s="1" t="s">
        <v>181</v>
      </c>
      <c r="C18" s="2">
        <v>65400</v>
      </c>
      <c r="D18" s="2">
        <v>32.799999999999997</v>
      </c>
      <c r="E18" s="2">
        <v>18.7</v>
      </c>
      <c r="F18" s="2">
        <v>0.57999999999999996</v>
      </c>
      <c r="G18" s="2">
        <v>2.1451199999999999E-3</v>
      </c>
      <c r="H18" s="2">
        <v>1.22298E-3</v>
      </c>
      <c r="I18" s="2">
        <v>3.7932E-2</v>
      </c>
      <c r="J18" s="1" t="s">
        <v>1</v>
      </c>
      <c r="K18" s="1" t="s">
        <v>1</v>
      </c>
      <c r="L18" s="2">
        <v>0.467166258289753</v>
      </c>
      <c r="M18" s="2">
        <v>1.78250204415372</v>
      </c>
      <c r="N18" s="1" t="s">
        <v>165</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topLeftCell="A16" zoomScale="70" zoomScaleNormal="70" workbookViewId="0">
      <selection activeCell="A3" sqref="A3:XFD3"/>
    </sheetView>
  </sheetViews>
  <sheetFormatPr defaultRowHeight="14.4" x14ac:dyDescent="0.3"/>
  <cols>
    <col min="1" max="1" width="16.21875" bestFit="1" customWidth="1"/>
    <col min="2" max="2" width="20.33203125" bestFit="1" customWidth="1"/>
    <col min="3" max="3" width="11.5546875" bestFit="1" customWidth="1"/>
    <col min="5" max="6" width="14.6640625" bestFit="1" customWidth="1"/>
    <col min="7" max="7" width="14.6640625" customWidth="1"/>
    <col min="8" max="9" width="11.6640625" bestFit="1" customWidth="1"/>
    <col min="10" max="10" width="11.5546875" bestFit="1" customWidth="1"/>
    <col min="11" max="11" width="54.6640625" bestFit="1" customWidth="1"/>
  </cols>
  <sheetData>
    <row r="1" spans="1:15" x14ac:dyDescent="0.3">
      <c r="A1" t="s">
        <v>251</v>
      </c>
      <c r="B1" t="s">
        <v>244</v>
      </c>
      <c r="C1" t="s">
        <v>206</v>
      </c>
      <c r="D1" t="s">
        <v>207</v>
      </c>
      <c r="E1" t="s">
        <v>208</v>
      </c>
      <c r="F1" t="s">
        <v>209</v>
      </c>
      <c r="G1" t="s">
        <v>214</v>
      </c>
      <c r="H1" t="s">
        <v>211</v>
      </c>
      <c r="I1" t="s">
        <v>212</v>
      </c>
      <c r="J1" t="s">
        <v>213</v>
      </c>
      <c r="K1" t="s">
        <v>210</v>
      </c>
      <c r="L1" t="s">
        <v>245</v>
      </c>
      <c r="M1" t="s">
        <v>246</v>
      </c>
      <c r="N1" t="s">
        <v>247</v>
      </c>
      <c r="O1" t="s">
        <v>248</v>
      </c>
    </row>
    <row r="2" spans="1:15" x14ac:dyDescent="0.3">
      <c r="A2" t="s">
        <v>166</v>
      </c>
      <c r="B2" t="s">
        <v>166</v>
      </c>
      <c r="C2" t="s">
        <v>165</v>
      </c>
      <c r="D2" s="7">
        <v>43222</v>
      </c>
      <c r="E2" s="8">
        <v>42857.510416666664</v>
      </c>
      <c r="F2" s="12">
        <v>42864.614583333336</v>
      </c>
      <c r="K2" t="s">
        <v>254</v>
      </c>
      <c r="L2" s="14">
        <v>633300</v>
      </c>
      <c r="M2" s="15">
        <v>1.7404559999999999E-2</v>
      </c>
      <c r="N2" s="15">
        <v>8.4334400000000004E-3</v>
      </c>
      <c r="O2" s="15">
        <v>0.30637599999999998</v>
      </c>
    </row>
    <row r="3" spans="1:15" s="19" customFormat="1" x14ac:dyDescent="0.3">
      <c r="A3" t="s">
        <v>169</v>
      </c>
      <c r="B3" t="s">
        <v>169</v>
      </c>
      <c r="C3" t="s">
        <v>165</v>
      </c>
      <c r="D3" s="7">
        <v>43229</v>
      </c>
      <c r="E3" s="12">
        <v>42864.625</v>
      </c>
      <c r="F3" s="12">
        <v>42871.46875</v>
      </c>
      <c r="G3" s="19">
        <v>194000</v>
      </c>
      <c r="H3" s="9">
        <v>3.4144000000000002E-3</v>
      </c>
      <c r="I3" s="9">
        <v>2.4443999999999998E-3</v>
      </c>
      <c r="J3" s="9">
        <v>8.7300000000000003E-2</v>
      </c>
      <c r="K3"/>
    </row>
    <row r="4" spans="1:15" x14ac:dyDescent="0.3">
      <c r="A4" t="s">
        <v>170</v>
      </c>
      <c r="B4" t="s">
        <v>170</v>
      </c>
      <c r="C4" t="s">
        <v>165</v>
      </c>
      <c r="D4" s="7">
        <v>43236</v>
      </c>
      <c r="E4" s="8">
        <v>42871.479166666664</v>
      </c>
      <c r="F4" s="8">
        <v>42878.46875</v>
      </c>
      <c r="G4">
        <v>51300</v>
      </c>
      <c r="H4" s="9">
        <v>2.8009799999999998E-3</v>
      </c>
      <c r="I4" s="9">
        <v>1.1337299999999999E-3</v>
      </c>
      <c r="J4" s="9">
        <v>5.1299999999999998E-2</v>
      </c>
    </row>
    <row r="5" spans="1:15" x14ac:dyDescent="0.3">
      <c r="A5" t="s">
        <v>171</v>
      </c>
      <c r="B5" t="s">
        <v>171</v>
      </c>
      <c r="C5" t="s">
        <v>165</v>
      </c>
      <c r="D5" s="7">
        <v>43243</v>
      </c>
      <c r="E5" s="8">
        <v>42878.479166666664</v>
      </c>
      <c r="F5" s="12">
        <v>42885.104166666664</v>
      </c>
      <c r="G5">
        <v>30100</v>
      </c>
      <c r="H5" s="9">
        <v>6.5618000000000002E-4</v>
      </c>
      <c r="I5" s="9">
        <v>3.1304E-4</v>
      </c>
      <c r="J5" s="9">
        <v>1.4749E-2</v>
      </c>
    </row>
    <row r="6" spans="1:15" x14ac:dyDescent="0.3">
      <c r="B6" t="s">
        <v>255</v>
      </c>
      <c r="C6" t="s">
        <v>165</v>
      </c>
      <c r="D6" s="7">
        <v>43250</v>
      </c>
      <c r="E6" s="8">
        <v>42885.114583333336</v>
      </c>
      <c r="F6" s="12">
        <v>42892.479166666664</v>
      </c>
      <c r="K6" s="9" t="s">
        <v>256</v>
      </c>
      <c r="L6" s="26">
        <v>6900</v>
      </c>
      <c r="M6" s="26">
        <v>3.5500499999999998E-4</v>
      </c>
      <c r="N6" s="26">
        <v>1.15575E-4</v>
      </c>
      <c r="O6" s="26">
        <v>4.8300000000000001E-3</v>
      </c>
    </row>
    <row r="7" spans="1:15" x14ac:dyDescent="0.3">
      <c r="A7" t="s">
        <v>172</v>
      </c>
      <c r="B7" t="s">
        <v>172</v>
      </c>
      <c r="C7" t="s">
        <v>165</v>
      </c>
      <c r="D7" s="7">
        <v>43257</v>
      </c>
      <c r="E7" s="12">
        <v>42892.489583333336</v>
      </c>
      <c r="F7" s="8">
        <v>42899.447916666664</v>
      </c>
      <c r="G7">
        <v>10500</v>
      </c>
      <c r="H7">
        <v>8.5154999999999996E-4</v>
      </c>
      <c r="I7">
        <v>2.4254999999999999E-4</v>
      </c>
      <c r="J7">
        <v>9.5549999999999993E-3</v>
      </c>
    </row>
    <row r="8" spans="1:15" x14ac:dyDescent="0.3">
      <c r="A8" t="s">
        <v>173</v>
      </c>
      <c r="B8" t="s">
        <v>173</v>
      </c>
      <c r="C8" t="s">
        <v>165</v>
      </c>
      <c r="D8" s="7">
        <v>43264</v>
      </c>
      <c r="E8" s="8">
        <v>42899.458333333336</v>
      </c>
      <c r="F8" s="8">
        <v>42908.458333333336</v>
      </c>
      <c r="G8">
        <v>3100</v>
      </c>
      <c r="H8">
        <v>4.6809999999999999E-4</v>
      </c>
      <c r="J8">
        <v>3.8440000000000002E-3</v>
      </c>
      <c r="K8" t="s">
        <v>260</v>
      </c>
      <c r="N8" s="14">
        <v>-999</v>
      </c>
    </row>
    <row r="9" spans="1:15" s="19" customFormat="1" x14ac:dyDescent="0.3">
      <c r="A9" t="s">
        <v>174</v>
      </c>
      <c r="B9" t="s">
        <v>257</v>
      </c>
      <c r="C9" t="s">
        <v>165</v>
      </c>
      <c r="D9" s="7">
        <v>43273</v>
      </c>
      <c r="E9" s="8">
        <v>42908.46875</v>
      </c>
      <c r="F9" s="12">
        <v>42912.15625</v>
      </c>
      <c r="K9" t="s">
        <v>258</v>
      </c>
      <c r="L9" s="19" t="s">
        <v>252</v>
      </c>
      <c r="M9" s="14">
        <v>6.1256799999999997E-3</v>
      </c>
      <c r="N9" s="14">
        <v>3.78781E-3</v>
      </c>
      <c r="O9" s="14">
        <v>9.2906000000000002E-2</v>
      </c>
    </row>
    <row r="10" spans="1:15" s="19" customFormat="1" x14ac:dyDescent="0.3">
      <c r="A10" t="s">
        <v>177</v>
      </c>
      <c r="B10" t="s">
        <v>177</v>
      </c>
      <c r="C10" t="s">
        <v>165</v>
      </c>
      <c r="D10" s="7">
        <v>43278</v>
      </c>
      <c r="E10" s="12">
        <v>42916.614583333336</v>
      </c>
      <c r="F10" s="12">
        <v>42921.5</v>
      </c>
      <c r="K10" t="s">
        <v>259</v>
      </c>
      <c r="L10" s="19" t="s">
        <v>252</v>
      </c>
      <c r="M10" s="14">
        <v>1.222956E-2</v>
      </c>
      <c r="N10" s="14">
        <v>9.2460200000000006E-3</v>
      </c>
      <c r="O10" s="14">
        <v>0.209734</v>
      </c>
    </row>
    <row r="11" spans="1:15" x14ac:dyDescent="0.3">
      <c r="A11" t="s">
        <v>178</v>
      </c>
      <c r="B11" t="s">
        <v>178</v>
      </c>
      <c r="C11" t="s">
        <v>165</v>
      </c>
      <c r="D11" s="7">
        <v>43286</v>
      </c>
      <c r="E11" s="8">
        <v>42921.510416666664</v>
      </c>
      <c r="F11" s="8">
        <v>42927.59375</v>
      </c>
      <c r="G11">
        <v>106800</v>
      </c>
      <c r="H11">
        <v>4.83804E-3</v>
      </c>
      <c r="I11">
        <v>2.3282400000000001E-3</v>
      </c>
      <c r="J11">
        <v>6.0876E-2</v>
      </c>
    </row>
    <row r="12" spans="1:15" s="19" customFormat="1" x14ac:dyDescent="0.3">
      <c r="A12" s="19" t="s">
        <v>179</v>
      </c>
      <c r="B12" s="19" t="s">
        <v>179</v>
      </c>
      <c r="C12" s="19" t="s">
        <v>165</v>
      </c>
      <c r="D12" s="20">
        <v>43292</v>
      </c>
      <c r="E12" s="12">
        <v>42927.604166666664</v>
      </c>
      <c r="F12" s="12">
        <v>42934.572916666664</v>
      </c>
      <c r="G12" s="19">
        <v>293900</v>
      </c>
      <c r="H12" s="19">
        <v>2.330627E-2</v>
      </c>
      <c r="I12" s="19">
        <v>2.1807380000000001E-2</v>
      </c>
      <c r="J12" s="19">
        <v>0.30859500000000001</v>
      </c>
    </row>
    <row r="13" spans="1:15" x14ac:dyDescent="0.3">
      <c r="A13" t="s">
        <v>180</v>
      </c>
      <c r="B13" t="s">
        <v>180</v>
      </c>
      <c r="C13" t="s">
        <v>165</v>
      </c>
      <c r="D13" s="7">
        <v>43299</v>
      </c>
      <c r="E13" s="8">
        <v>42934.583333333336</v>
      </c>
      <c r="F13" s="8">
        <v>42942.552083333336</v>
      </c>
      <c r="G13">
        <v>144400</v>
      </c>
      <c r="H13">
        <v>4.23092E-3</v>
      </c>
      <c r="I13">
        <v>3.9709999999999997E-3</v>
      </c>
      <c r="J13">
        <v>0.10541200000000001</v>
      </c>
    </row>
    <row r="14" spans="1:15" x14ac:dyDescent="0.3">
      <c r="A14" t="s">
        <v>181</v>
      </c>
      <c r="B14" t="s">
        <v>181</v>
      </c>
      <c r="C14" t="s">
        <v>165</v>
      </c>
      <c r="D14" s="7">
        <v>43307</v>
      </c>
      <c r="E14" s="8">
        <v>42942.5625</v>
      </c>
      <c r="F14" s="8">
        <v>42948.197916666664</v>
      </c>
      <c r="G14">
        <v>65400</v>
      </c>
      <c r="H14">
        <v>2.1451199999999999E-3</v>
      </c>
      <c r="I14">
        <v>1.22298E-3</v>
      </c>
      <c r="J14">
        <v>3.7932E-2</v>
      </c>
    </row>
    <row r="15" spans="1:15" x14ac:dyDescent="0.3">
      <c r="A15" s="11"/>
      <c r="B15" s="11"/>
      <c r="C15" s="9"/>
      <c r="E15" s="11"/>
      <c r="F15" s="11"/>
      <c r="G15" s="11"/>
      <c r="H15" s="9"/>
      <c r="I15" s="9"/>
    </row>
    <row r="16" spans="1:15" x14ac:dyDescent="0.3">
      <c r="A16" s="11"/>
      <c r="B16" s="11"/>
      <c r="C16" s="9"/>
      <c r="E16" s="11"/>
      <c r="F16" s="11"/>
      <c r="G16" s="11"/>
      <c r="H16" s="9"/>
      <c r="I16" s="9"/>
    </row>
    <row r="17" spans="1:14" x14ac:dyDescent="0.3">
      <c r="A17" s="11"/>
      <c r="B17" s="11"/>
      <c r="C17" s="9"/>
      <c r="E17" s="11"/>
      <c r="F17" s="11"/>
      <c r="G17" s="11"/>
      <c r="H17" s="9"/>
      <c r="I17" s="9"/>
      <c r="L17" s="1"/>
      <c r="M17" s="1"/>
      <c r="N17" s="2"/>
    </row>
    <row r="18" spans="1:14" x14ac:dyDescent="0.3">
      <c r="A18" s="11"/>
      <c r="B18" s="11"/>
      <c r="C18" s="9"/>
      <c r="E18" s="11"/>
      <c r="F18" s="11"/>
      <c r="G18" s="11"/>
      <c r="H18" s="9"/>
      <c r="I18" s="9"/>
      <c r="L18" s="1"/>
      <c r="M18" s="1"/>
      <c r="N18" s="2"/>
    </row>
    <row r="19" spans="1:14" x14ac:dyDescent="0.3">
      <c r="A19" s="11"/>
      <c r="B19" s="11"/>
      <c r="C19" s="9"/>
      <c r="E19" s="11"/>
      <c r="F19" s="11"/>
      <c r="G19" s="11"/>
      <c r="H19" s="9"/>
      <c r="I19" s="9"/>
      <c r="L19" s="1"/>
      <c r="M19" s="1"/>
      <c r="N19" s="2"/>
    </row>
    <row r="20" spans="1:14" x14ac:dyDescent="0.3">
      <c r="A20" s="11"/>
      <c r="B20" s="11"/>
      <c r="C20" s="9"/>
      <c r="E20" s="11"/>
      <c r="F20" s="11"/>
      <c r="G20" s="11"/>
      <c r="H20" s="9"/>
      <c r="I20" s="9"/>
      <c r="L20" s="1"/>
      <c r="M20" s="1"/>
      <c r="N20" s="2"/>
    </row>
    <row r="21" spans="1:14" x14ac:dyDescent="0.3">
      <c r="A21" s="11"/>
      <c r="B21" s="11"/>
      <c r="C21" s="9"/>
      <c r="E21" s="11"/>
      <c r="F21" s="11"/>
      <c r="G21" s="11"/>
      <c r="H21" s="9"/>
      <c r="I21" s="9"/>
      <c r="L21" s="1"/>
      <c r="M21" s="1"/>
      <c r="N21" s="2"/>
    </row>
    <row r="22" spans="1:14" x14ac:dyDescent="0.3">
      <c r="A22" s="11"/>
      <c r="B22" s="11"/>
      <c r="C22" s="9"/>
      <c r="E22" s="11"/>
      <c r="F22" s="11"/>
      <c r="G22" s="11"/>
      <c r="H22" s="9"/>
      <c r="I22" s="9"/>
      <c r="L22" s="1"/>
      <c r="M22" s="1"/>
      <c r="N22" s="2"/>
    </row>
    <row r="23" spans="1:14" x14ac:dyDescent="0.3">
      <c r="A23" s="11"/>
      <c r="B23" s="11"/>
      <c r="C23" s="9"/>
      <c r="E23" s="11"/>
      <c r="F23" s="11"/>
      <c r="G23" s="11"/>
      <c r="H23" s="9"/>
      <c r="L23" s="1"/>
      <c r="M23" s="1"/>
      <c r="N23" s="2"/>
    </row>
    <row r="24" spans="1:14" x14ac:dyDescent="0.3">
      <c r="A24" s="11"/>
      <c r="B24" s="11"/>
      <c r="C24" s="9"/>
      <c r="F24" s="11"/>
      <c r="G24" s="11"/>
      <c r="H24" s="9"/>
      <c r="L24" s="1"/>
      <c r="M24" s="1"/>
      <c r="N24" s="2"/>
    </row>
    <row r="25" spans="1:14" x14ac:dyDescent="0.3">
      <c r="A25" s="11"/>
      <c r="B25" s="11"/>
      <c r="C25" s="9"/>
      <c r="F25" s="11"/>
      <c r="G25" s="11"/>
      <c r="H25" s="9"/>
      <c r="L25" s="1"/>
      <c r="M25" s="1"/>
      <c r="N25" s="2"/>
    </row>
    <row r="26" spans="1:14" x14ac:dyDescent="0.3">
      <c r="A26" s="11"/>
      <c r="B26" s="11"/>
      <c r="C26" s="9"/>
      <c r="F26" s="11"/>
      <c r="G26" s="11"/>
      <c r="H26" s="9"/>
      <c r="L26" s="1"/>
      <c r="M26" s="1"/>
      <c r="N26" s="2"/>
    </row>
    <row r="27" spans="1:14" x14ac:dyDescent="0.3">
      <c r="A27" s="11"/>
      <c r="B27" s="11"/>
      <c r="C27" s="9"/>
      <c r="F27" s="11"/>
      <c r="G27" s="11"/>
      <c r="H27" s="9"/>
      <c r="L27" s="1"/>
      <c r="M27" s="1"/>
      <c r="N27" s="2"/>
    </row>
    <row r="28" spans="1:14" x14ac:dyDescent="0.3">
      <c r="A28" s="11"/>
      <c r="B28" s="11"/>
      <c r="C28" s="9"/>
      <c r="F28" s="11"/>
      <c r="G28" s="11"/>
      <c r="H28" s="9"/>
      <c r="L28" s="1"/>
      <c r="M28" s="1"/>
      <c r="N28" s="2"/>
    </row>
    <row r="29" spans="1:14" x14ac:dyDescent="0.3">
      <c r="A29" s="11"/>
      <c r="B29" s="11"/>
      <c r="C29" s="9"/>
      <c r="F29" s="11"/>
      <c r="G29" s="11"/>
      <c r="H29" s="9"/>
      <c r="L29" s="1"/>
      <c r="M29" s="1"/>
      <c r="N29" s="2"/>
    </row>
    <row r="30" spans="1:14" x14ac:dyDescent="0.3">
      <c r="A30" s="11"/>
      <c r="B30" s="11"/>
      <c r="C30" s="9"/>
      <c r="F30" s="11"/>
      <c r="G30" s="11"/>
      <c r="H30" s="9"/>
      <c r="L30" s="1"/>
      <c r="M30" s="1"/>
      <c r="N30" s="2"/>
    </row>
    <row r="31" spans="1:14" x14ac:dyDescent="0.3">
      <c r="A31" s="11"/>
      <c r="B31" s="11"/>
      <c r="C31" s="9"/>
      <c r="L31" s="1"/>
      <c r="M31" s="1"/>
      <c r="N31" s="2"/>
    </row>
    <row r="32" spans="1:14" x14ac:dyDescent="0.3">
      <c r="A32" s="11"/>
      <c r="B32" s="11"/>
      <c r="C32" s="9"/>
      <c r="L32" s="1"/>
      <c r="M32" s="1"/>
      <c r="N32" s="2"/>
    </row>
    <row r="33" spans="1:14" x14ac:dyDescent="0.3">
      <c r="A33" s="11"/>
      <c r="B33" s="11"/>
      <c r="C33" s="9"/>
      <c r="L33" s="1"/>
      <c r="M33" s="1"/>
      <c r="N33" s="2"/>
    </row>
    <row r="34" spans="1:14" x14ac:dyDescent="0.3">
      <c r="A34" s="11"/>
      <c r="B34" s="11"/>
      <c r="C34" s="9"/>
      <c r="L34" s="1"/>
      <c r="M34" s="1"/>
      <c r="N34" s="2"/>
    </row>
    <row r="35" spans="1:14" x14ac:dyDescent="0.3">
      <c r="A35" s="11"/>
      <c r="B35" s="11"/>
      <c r="C35" s="9"/>
      <c r="L35" s="1"/>
      <c r="M35" s="1"/>
      <c r="N35" s="2"/>
    </row>
    <row r="36" spans="1:14" x14ac:dyDescent="0.3">
      <c r="A36" s="11"/>
      <c r="B36" s="11"/>
      <c r="C36" s="9"/>
    </row>
    <row r="37" spans="1:14" x14ac:dyDescent="0.3">
      <c r="A37" s="11"/>
      <c r="B37" s="11"/>
      <c r="C37" s="9"/>
    </row>
    <row r="38" spans="1:14" x14ac:dyDescent="0.3">
      <c r="A38" s="11"/>
      <c r="B38" s="11"/>
      <c r="C38" s="9"/>
    </row>
    <row r="39" spans="1:14" x14ac:dyDescent="0.3">
      <c r="A39" s="11"/>
      <c r="B39" s="11"/>
      <c r="C39" s="9"/>
    </row>
    <row r="40" spans="1:14" x14ac:dyDescent="0.3">
      <c r="A40" s="11"/>
      <c r="B40" s="11"/>
      <c r="C40" s="9"/>
    </row>
    <row r="41" spans="1:14" x14ac:dyDescent="0.3">
      <c r="A41" s="11"/>
      <c r="B41" s="11"/>
      <c r="C41" s="9"/>
    </row>
  </sheetData>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70" zoomScaleNormal="70" workbookViewId="0">
      <selection activeCell="Z6" sqref="Z6"/>
    </sheetView>
  </sheetViews>
  <sheetFormatPr defaultRowHeight="14.4" x14ac:dyDescent="0.3"/>
  <sheetData>
    <row r="1" spans="1:14" x14ac:dyDescent="0.3">
      <c r="A1" s="3" t="s">
        <v>23</v>
      </c>
      <c r="B1" s="3" t="s">
        <v>24</v>
      </c>
      <c r="C1" s="3" t="s">
        <v>25</v>
      </c>
      <c r="D1" s="3" t="s">
        <v>26</v>
      </c>
      <c r="E1" s="3" t="s">
        <v>27</v>
      </c>
      <c r="F1" s="3" t="s">
        <v>28</v>
      </c>
      <c r="G1" s="3" t="s">
        <v>29</v>
      </c>
      <c r="H1" s="3" t="s">
        <v>30</v>
      </c>
      <c r="I1" s="3" t="s">
        <v>31</v>
      </c>
      <c r="J1" s="3" t="s">
        <v>32</v>
      </c>
      <c r="K1" s="3" t="s">
        <v>33</v>
      </c>
      <c r="L1" s="3" t="s">
        <v>34</v>
      </c>
      <c r="M1" s="3" t="s">
        <v>35</v>
      </c>
      <c r="N1" s="3" t="s">
        <v>36</v>
      </c>
    </row>
    <row r="2" spans="1:14" ht="43.2" x14ac:dyDescent="0.3">
      <c r="A2" s="1" t="s">
        <v>0</v>
      </c>
      <c r="B2" s="1" t="s">
        <v>0</v>
      </c>
      <c r="C2" s="2">
        <v>1170100</v>
      </c>
      <c r="D2" s="2">
        <v>333</v>
      </c>
      <c r="E2" s="2">
        <v>81.2</v>
      </c>
      <c r="F2" s="2">
        <v>5.63</v>
      </c>
      <c r="G2" s="2">
        <v>0.38964330000000003</v>
      </c>
      <c r="H2" s="2">
        <v>9.5012120000000005E-2</v>
      </c>
      <c r="I2" s="2">
        <v>6.587663</v>
      </c>
      <c r="J2" s="1" t="s">
        <v>1</v>
      </c>
      <c r="K2" s="1" t="s">
        <v>1</v>
      </c>
      <c r="L2" s="2">
        <v>2.3144171435996799</v>
      </c>
      <c r="M2" s="2">
        <v>5.7622511240353997</v>
      </c>
      <c r="N2" s="1" t="s">
        <v>2</v>
      </c>
    </row>
    <row r="3" spans="1:14" ht="43.2" x14ac:dyDescent="0.3">
      <c r="A3" s="1" t="s">
        <v>3</v>
      </c>
      <c r="B3" s="1" t="s">
        <v>3</v>
      </c>
      <c r="C3" s="2">
        <v>765200</v>
      </c>
      <c r="D3" s="2">
        <v>208</v>
      </c>
      <c r="E3" s="2">
        <v>44.5</v>
      </c>
      <c r="F3" s="2">
        <v>5.29</v>
      </c>
      <c r="G3" s="2">
        <v>0.15916159999999999</v>
      </c>
      <c r="H3" s="2">
        <v>3.4051400000000002E-2</v>
      </c>
      <c r="I3" s="2">
        <v>4.0479079999999996</v>
      </c>
      <c r="J3" s="1" t="s">
        <v>1</v>
      </c>
      <c r="K3" s="1" t="s">
        <v>1</v>
      </c>
      <c r="L3" s="2">
        <v>1.5135390122916601</v>
      </c>
      <c r="M3" s="2">
        <v>3.7682886591845901</v>
      </c>
      <c r="N3" s="1" t="s">
        <v>2</v>
      </c>
    </row>
    <row r="4" spans="1:14" ht="43.2" x14ac:dyDescent="0.3">
      <c r="A4" s="1" t="s">
        <v>4</v>
      </c>
      <c r="B4" s="1" t="s">
        <v>4</v>
      </c>
      <c r="C4" s="2">
        <v>1108400</v>
      </c>
      <c r="D4" s="2">
        <v>236</v>
      </c>
      <c r="E4" s="2">
        <v>40.799999999999997</v>
      </c>
      <c r="F4" s="2">
        <v>5.17</v>
      </c>
      <c r="G4" s="2">
        <v>0.26158239999999999</v>
      </c>
      <c r="H4" s="2">
        <v>4.5222720000000001E-2</v>
      </c>
      <c r="I4" s="2">
        <v>5.7304279999999999</v>
      </c>
      <c r="J4" s="1" t="s">
        <v>1</v>
      </c>
      <c r="K4" s="1" t="s">
        <v>1</v>
      </c>
      <c r="L4" s="2">
        <v>2.19237668743345</v>
      </c>
      <c r="M4" s="2">
        <v>5.4584045345533196</v>
      </c>
      <c r="N4" s="1" t="s">
        <v>2</v>
      </c>
    </row>
    <row r="5" spans="1:14" ht="43.2" x14ac:dyDescent="0.3">
      <c r="A5" s="1" t="s">
        <v>5</v>
      </c>
      <c r="B5" s="1" t="s">
        <v>5</v>
      </c>
      <c r="C5" s="2">
        <v>626200</v>
      </c>
      <c r="D5" s="2">
        <v>26.7</v>
      </c>
      <c r="E5" s="2">
        <v>15.4</v>
      </c>
      <c r="F5" s="2">
        <v>4.96</v>
      </c>
      <c r="G5" s="2">
        <v>1.6719540000000001E-2</v>
      </c>
      <c r="H5" s="2">
        <v>9.6434799999999994E-3</v>
      </c>
      <c r="I5" s="2">
        <v>3.1059519999999998</v>
      </c>
      <c r="J5" s="1" t="s">
        <v>1</v>
      </c>
      <c r="K5" s="1" t="s">
        <v>1</v>
      </c>
      <c r="L5" s="2">
        <v>1.2386018419982201</v>
      </c>
      <c r="M5" s="2">
        <v>3.0837720313400299</v>
      </c>
      <c r="N5" s="1" t="s">
        <v>2</v>
      </c>
    </row>
    <row r="6" spans="1:14" ht="43.2" x14ac:dyDescent="0.3">
      <c r="A6" s="1" t="s">
        <v>6</v>
      </c>
      <c r="B6" s="1" t="s">
        <v>6</v>
      </c>
      <c r="C6" s="2">
        <v>472000</v>
      </c>
      <c r="D6" s="2">
        <v>127</v>
      </c>
      <c r="E6" s="2">
        <v>26.7</v>
      </c>
      <c r="F6" s="2">
        <v>5.27</v>
      </c>
      <c r="G6" s="2">
        <v>5.9943999999999997E-2</v>
      </c>
      <c r="H6" s="2">
        <v>1.26024E-2</v>
      </c>
      <c r="I6" s="2">
        <v>2.4874399999999999</v>
      </c>
      <c r="J6" s="1" t="s">
        <v>1</v>
      </c>
      <c r="K6" s="1" t="s">
        <v>1</v>
      </c>
      <c r="L6" s="2">
        <v>0.93359959984535401</v>
      </c>
      <c r="M6" s="2">
        <v>2.3244017866376399</v>
      </c>
      <c r="N6" s="1" t="s">
        <v>2</v>
      </c>
    </row>
    <row r="7" spans="1:14" ht="43.2" x14ac:dyDescent="0.3">
      <c r="A7" s="1" t="s">
        <v>7</v>
      </c>
      <c r="B7" s="1" t="s">
        <v>7</v>
      </c>
      <c r="C7" s="2">
        <v>535300</v>
      </c>
      <c r="D7" s="2">
        <v>19.3</v>
      </c>
      <c r="E7" s="2">
        <v>13</v>
      </c>
      <c r="F7" s="2">
        <v>5.13</v>
      </c>
      <c r="G7" s="2">
        <v>1.033129E-2</v>
      </c>
      <c r="H7" s="2">
        <v>6.9588999999999996E-3</v>
      </c>
      <c r="I7" s="2">
        <v>2.746089</v>
      </c>
      <c r="J7" s="1" t="s">
        <v>1</v>
      </c>
      <c r="K7" s="1" t="s">
        <v>1</v>
      </c>
      <c r="L7" s="2">
        <v>1.0588048004178301</v>
      </c>
      <c r="M7" s="2">
        <v>2.6361277042100202</v>
      </c>
      <c r="N7" s="1" t="s">
        <v>2</v>
      </c>
    </row>
    <row r="8" spans="1:14" ht="72" x14ac:dyDescent="0.3">
      <c r="A8" s="1" t="s">
        <v>8</v>
      </c>
      <c r="B8" s="1" t="s">
        <v>8</v>
      </c>
      <c r="C8" s="2">
        <v>370600</v>
      </c>
      <c r="D8" s="2">
        <v>23.5</v>
      </c>
      <c r="E8" s="2">
        <v>7.6</v>
      </c>
      <c r="F8" s="2">
        <v>5.32</v>
      </c>
      <c r="G8" s="2">
        <v>8.7090999999999991E-3</v>
      </c>
      <c r="H8" s="2">
        <v>2.8165600000000001E-3</v>
      </c>
      <c r="I8" s="2">
        <v>1.971592</v>
      </c>
      <c r="J8" s="1" t="s">
        <v>9</v>
      </c>
      <c r="K8" s="1" t="s">
        <v>10</v>
      </c>
      <c r="L8" s="2">
        <v>0.73303392309891602</v>
      </c>
      <c r="M8" s="2">
        <v>1.82504936891507</v>
      </c>
      <c r="N8" s="1" t="s">
        <v>2</v>
      </c>
    </row>
    <row r="9" spans="1:14" ht="43.2" x14ac:dyDescent="0.3">
      <c r="A9" s="1" t="s">
        <v>11</v>
      </c>
      <c r="B9" s="1" t="s">
        <v>11</v>
      </c>
      <c r="C9" s="2">
        <v>313600</v>
      </c>
      <c r="D9" s="2">
        <v>23.9</v>
      </c>
      <c r="E9" s="2">
        <v>13.9</v>
      </c>
      <c r="F9" s="2">
        <v>5.29</v>
      </c>
      <c r="G9" s="2">
        <v>7.4950399999999997E-3</v>
      </c>
      <c r="H9" s="2">
        <v>4.3590399999999998E-3</v>
      </c>
      <c r="I9" s="2">
        <v>1.658944</v>
      </c>
      <c r="J9" s="1" t="s">
        <v>1</v>
      </c>
      <c r="K9" s="1" t="s">
        <v>1</v>
      </c>
      <c r="L9" s="2">
        <v>0.62028990362606595</v>
      </c>
      <c r="M9" s="2">
        <v>1.5443483056982299</v>
      </c>
      <c r="N9" s="1" t="s">
        <v>2</v>
      </c>
    </row>
    <row r="10" spans="1:14" ht="43.2" x14ac:dyDescent="0.3">
      <c r="A10" s="1" t="s">
        <v>12</v>
      </c>
      <c r="B10" s="1" t="s">
        <v>12</v>
      </c>
      <c r="C10" s="2">
        <v>397900</v>
      </c>
      <c r="D10" s="2">
        <v>28.6</v>
      </c>
      <c r="E10" s="2">
        <v>16.100000000000001</v>
      </c>
      <c r="F10" s="2">
        <v>6.48</v>
      </c>
      <c r="G10" s="2">
        <v>1.137994E-2</v>
      </c>
      <c r="H10" s="2">
        <v>6.40619E-3</v>
      </c>
      <c r="I10" s="2">
        <v>2.578392</v>
      </c>
      <c r="J10" s="1" t="s">
        <v>1</v>
      </c>
      <c r="K10" s="1" t="s">
        <v>1</v>
      </c>
      <c r="L10" s="2">
        <v>0.787032374530649</v>
      </c>
      <c r="M10" s="2">
        <v>1.9594904044557599</v>
      </c>
      <c r="N10" s="1" t="s">
        <v>2</v>
      </c>
    </row>
    <row r="11" spans="1:14" ht="43.2" x14ac:dyDescent="0.3">
      <c r="A11" s="1" t="s">
        <v>13</v>
      </c>
      <c r="B11" s="1" t="s">
        <v>13</v>
      </c>
      <c r="C11" s="2">
        <v>755800</v>
      </c>
      <c r="D11" s="2">
        <v>108</v>
      </c>
      <c r="E11" s="2">
        <v>64.400000000000006</v>
      </c>
      <c r="F11" s="2">
        <v>22.19</v>
      </c>
      <c r="G11" s="2">
        <v>8.1626400000000002E-2</v>
      </c>
      <c r="H11" s="2">
        <v>4.8673519999999998E-2</v>
      </c>
      <c r="I11" s="2">
        <v>16.771201999999999</v>
      </c>
      <c r="J11" s="1" t="s">
        <v>1</v>
      </c>
      <c r="K11" s="1" t="s">
        <v>1</v>
      </c>
      <c r="L11" s="2">
        <v>1.4949461389049099</v>
      </c>
      <c r="M11" s="2">
        <v>3.7219976066540901</v>
      </c>
      <c r="N11" s="1" t="s">
        <v>2</v>
      </c>
    </row>
    <row r="12" spans="1:14" ht="43.2" x14ac:dyDescent="0.3">
      <c r="A12" s="1" t="s">
        <v>14</v>
      </c>
      <c r="B12" s="1" t="s">
        <v>14</v>
      </c>
      <c r="C12" s="2">
        <v>750200</v>
      </c>
      <c r="D12" s="2">
        <v>111</v>
      </c>
      <c r="E12" s="2">
        <v>72.2</v>
      </c>
      <c r="F12" s="2">
        <v>15.57</v>
      </c>
      <c r="G12" s="2">
        <v>8.3272200000000005E-2</v>
      </c>
      <c r="H12" s="2">
        <v>5.4164440000000001E-2</v>
      </c>
      <c r="I12" s="2">
        <v>11.680614</v>
      </c>
      <c r="J12" s="1" t="s">
        <v>1</v>
      </c>
      <c r="K12" s="1" t="s">
        <v>1</v>
      </c>
      <c r="L12" s="2">
        <v>1.4838695334830201</v>
      </c>
      <c r="M12" s="2">
        <v>3.6944199583380501</v>
      </c>
      <c r="N12" s="1" t="s">
        <v>2</v>
      </c>
    </row>
    <row r="13" spans="1:14" ht="43.2" x14ac:dyDescent="0.3">
      <c r="A13" s="1" t="s">
        <v>15</v>
      </c>
      <c r="B13" s="1" t="s">
        <v>15</v>
      </c>
      <c r="C13" s="2">
        <v>526500</v>
      </c>
      <c r="D13" s="2">
        <v>63.8</v>
      </c>
      <c r="E13" s="2">
        <v>44.1</v>
      </c>
      <c r="F13" s="2">
        <v>8.4700000000000006</v>
      </c>
      <c r="G13" s="2">
        <v>3.3590700000000001E-2</v>
      </c>
      <c r="H13" s="2">
        <v>2.321865E-2</v>
      </c>
      <c r="I13" s="2">
        <v>4.4594550000000002</v>
      </c>
      <c r="J13" s="1" t="s">
        <v>1</v>
      </c>
      <c r="K13" s="1" t="s">
        <v>1</v>
      </c>
      <c r="L13" s="2">
        <v>1.04139870618343</v>
      </c>
      <c r="M13" s="2">
        <v>2.59279139971339</v>
      </c>
      <c r="N13" s="1" t="s">
        <v>2</v>
      </c>
    </row>
    <row r="14" spans="1:14" ht="43.2" x14ac:dyDescent="0.3">
      <c r="A14" s="1" t="s">
        <v>16</v>
      </c>
      <c r="B14" s="1" t="s">
        <v>16</v>
      </c>
      <c r="C14" s="2">
        <v>746000</v>
      </c>
      <c r="D14" s="2">
        <v>256</v>
      </c>
      <c r="E14" s="2">
        <v>77.900000000000006</v>
      </c>
      <c r="F14" s="2">
        <v>8.0500000000000007</v>
      </c>
      <c r="G14" s="2">
        <v>0.19097600000000001</v>
      </c>
      <c r="H14" s="2">
        <v>5.8113400000000003E-2</v>
      </c>
      <c r="I14" s="2">
        <v>6.0053000000000001</v>
      </c>
      <c r="J14" s="1" t="s">
        <v>1</v>
      </c>
      <c r="K14" s="1" t="s">
        <v>1</v>
      </c>
      <c r="L14" s="2">
        <v>1.4755620794166</v>
      </c>
      <c r="M14" s="2">
        <v>3.6737367221010202</v>
      </c>
      <c r="N14" s="1" t="s">
        <v>2</v>
      </c>
    </row>
    <row r="15" spans="1:14" ht="43.2" x14ac:dyDescent="0.3">
      <c r="A15" s="1" t="s">
        <v>17</v>
      </c>
      <c r="B15" s="1" t="s">
        <v>17</v>
      </c>
      <c r="C15" s="2">
        <v>983400</v>
      </c>
      <c r="D15" s="2">
        <v>94.6</v>
      </c>
      <c r="E15" s="2">
        <v>46.7</v>
      </c>
      <c r="F15" s="2">
        <v>6.27</v>
      </c>
      <c r="G15" s="2">
        <v>9.3029639999999997E-2</v>
      </c>
      <c r="H15" s="2">
        <v>4.5924779999999998E-2</v>
      </c>
      <c r="I15" s="2">
        <v>6.1659179999999996</v>
      </c>
      <c r="J15" s="1" t="s">
        <v>1</v>
      </c>
      <c r="K15" s="1" t="s">
        <v>1</v>
      </c>
      <c r="L15" s="2">
        <v>1.94513103069475</v>
      </c>
      <c r="M15" s="2">
        <v>4.8428320274988597</v>
      </c>
      <c r="N15" s="1" t="s">
        <v>2</v>
      </c>
    </row>
    <row r="16" spans="1:14" ht="43.2" x14ac:dyDescent="0.3">
      <c r="A16" s="1" t="s">
        <v>18</v>
      </c>
      <c r="B16" s="1" t="s">
        <v>18</v>
      </c>
      <c r="C16" s="2">
        <v>823700</v>
      </c>
      <c r="D16" s="2">
        <v>223</v>
      </c>
      <c r="E16" s="2">
        <v>106</v>
      </c>
      <c r="F16" s="2">
        <v>6.63</v>
      </c>
      <c r="G16" s="2">
        <v>0.18368509999999999</v>
      </c>
      <c r="H16" s="2">
        <v>8.7312200000000006E-2</v>
      </c>
      <c r="I16" s="2">
        <v>5.461131</v>
      </c>
      <c r="J16" s="1" t="s">
        <v>1</v>
      </c>
      <c r="K16" s="1" t="s">
        <v>1</v>
      </c>
      <c r="L16" s="2">
        <v>1.6292499796453801</v>
      </c>
      <c r="M16" s="2">
        <v>4.05637659248608</v>
      </c>
      <c r="N16" s="1" t="s">
        <v>2</v>
      </c>
    </row>
    <row r="17" spans="1:14" ht="43.2" x14ac:dyDescent="0.3">
      <c r="A17" s="1" t="s">
        <v>19</v>
      </c>
      <c r="B17" s="1" t="s">
        <v>19</v>
      </c>
      <c r="C17" s="2">
        <v>861100</v>
      </c>
      <c r="D17" s="2">
        <v>98</v>
      </c>
      <c r="E17" s="2">
        <v>47.5</v>
      </c>
      <c r="F17" s="2">
        <v>5.31</v>
      </c>
      <c r="G17" s="2">
        <v>8.4387799999999999E-2</v>
      </c>
      <c r="H17" s="2">
        <v>4.0902250000000001E-2</v>
      </c>
      <c r="I17" s="2">
        <v>4.5724410000000004</v>
      </c>
      <c r="J17" s="1" t="s">
        <v>1</v>
      </c>
      <c r="K17" s="1" t="s">
        <v>1</v>
      </c>
      <c r="L17" s="2">
        <v>1.7032258801416</v>
      </c>
      <c r="M17" s="2">
        <v>4.2405558865967699</v>
      </c>
      <c r="N17" s="1" t="s">
        <v>2</v>
      </c>
    </row>
    <row r="18" spans="1:14" ht="57.6" x14ac:dyDescent="0.3">
      <c r="A18" s="1" t="s">
        <v>20</v>
      </c>
      <c r="B18" s="1" t="s">
        <v>20</v>
      </c>
      <c r="C18" s="2">
        <v>273500</v>
      </c>
      <c r="D18" s="2">
        <v>31.6</v>
      </c>
      <c r="E18" s="2">
        <v>21.7</v>
      </c>
      <c r="F18" s="2">
        <v>4.4000000000000004</v>
      </c>
      <c r="G18" s="2">
        <v>8.6426000000000003E-3</v>
      </c>
      <c r="H18" s="2">
        <v>5.9349499999999996E-3</v>
      </c>
      <c r="I18" s="2">
        <v>1.2034</v>
      </c>
      <c r="J18" s="1" t="s">
        <v>9</v>
      </c>
      <c r="K18" s="1" t="s">
        <v>21</v>
      </c>
      <c r="L18" s="2">
        <v>0.54097349694428898</v>
      </c>
      <c r="M18" s="2">
        <v>1.3468726454351601</v>
      </c>
      <c r="N18" s="1" t="s">
        <v>2</v>
      </c>
    </row>
    <row r="19" spans="1:14" ht="43.2" x14ac:dyDescent="0.3">
      <c r="A19" s="1" t="s">
        <v>22</v>
      </c>
      <c r="B19" s="1" t="s">
        <v>22</v>
      </c>
      <c r="C19" s="2">
        <v>116200</v>
      </c>
      <c r="D19" s="2">
        <v>23.8</v>
      </c>
      <c r="E19" s="2">
        <v>20.9</v>
      </c>
      <c r="F19" s="2">
        <v>3.69</v>
      </c>
      <c r="G19" s="2">
        <v>2.7655599999999998E-3</v>
      </c>
      <c r="H19" s="2">
        <v>2.4285800000000001E-3</v>
      </c>
      <c r="I19" s="2">
        <v>0.42877799999999999</v>
      </c>
      <c r="J19" s="1" t="s">
        <v>1</v>
      </c>
      <c r="K19" s="1" t="s">
        <v>1</v>
      </c>
      <c r="L19" s="2">
        <v>0.22983956250430099</v>
      </c>
      <c r="M19" s="2">
        <v>0.57223620255782703</v>
      </c>
      <c r="N19" s="1" t="s">
        <v>2</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50" zoomScaleNormal="50" workbookViewId="0">
      <selection activeCell="Z19" sqref="Z19"/>
    </sheetView>
  </sheetViews>
  <sheetFormatPr defaultRowHeight="14.4" x14ac:dyDescent="0.3"/>
  <cols>
    <col min="1" max="1" width="16.21875" bestFit="1" customWidth="1"/>
    <col min="2" max="2" width="20.33203125" bestFit="1" customWidth="1"/>
    <col min="5" max="6" width="14.6640625" bestFit="1" customWidth="1"/>
    <col min="7" max="7" width="14.6640625" customWidth="1"/>
  </cols>
  <sheetData>
    <row r="1" spans="1:11" x14ac:dyDescent="0.3">
      <c r="A1" t="s">
        <v>243</v>
      </c>
      <c r="B1" t="s">
        <v>244</v>
      </c>
      <c r="C1" t="s">
        <v>206</v>
      </c>
      <c r="D1" t="s">
        <v>207</v>
      </c>
      <c r="E1" t="s">
        <v>208</v>
      </c>
      <c r="F1" t="s">
        <v>209</v>
      </c>
      <c r="G1" t="s">
        <v>214</v>
      </c>
      <c r="H1" t="s">
        <v>211</v>
      </c>
      <c r="I1" t="s">
        <v>212</v>
      </c>
      <c r="J1" t="s">
        <v>213</v>
      </c>
      <c r="K1" t="s">
        <v>210</v>
      </c>
    </row>
    <row r="2" spans="1:11" x14ac:dyDescent="0.3">
      <c r="A2" t="s">
        <v>3</v>
      </c>
      <c r="B2" t="s">
        <v>3</v>
      </c>
      <c r="C2" t="s">
        <v>2</v>
      </c>
      <c r="D2" s="7">
        <v>43222</v>
      </c>
      <c r="E2" s="8">
        <v>42857.479166666664</v>
      </c>
      <c r="F2" s="8">
        <v>42864.479166666664</v>
      </c>
      <c r="G2" s="10">
        <v>1873600</v>
      </c>
      <c r="H2" s="9">
        <v>0.42074400000000001</v>
      </c>
      <c r="I2" s="9">
        <v>7.9274120000000003E-2</v>
      </c>
      <c r="J2" s="9">
        <v>9.7783359999999995</v>
      </c>
      <c r="K2" t="s">
        <v>205</v>
      </c>
    </row>
    <row r="3" spans="1:11" x14ac:dyDescent="0.3">
      <c r="A3" t="s">
        <v>5</v>
      </c>
      <c r="B3" t="s">
        <v>5</v>
      </c>
      <c r="C3" t="s">
        <v>2</v>
      </c>
      <c r="D3" s="7">
        <v>43229</v>
      </c>
      <c r="E3" s="8">
        <v>42864.489583333336</v>
      </c>
      <c r="F3" s="8">
        <v>42871.364583333336</v>
      </c>
      <c r="G3" s="9">
        <v>626200</v>
      </c>
      <c r="H3" s="9">
        <v>1.6719540000000001E-2</v>
      </c>
      <c r="I3" s="9">
        <v>9.6434799999999994E-3</v>
      </c>
      <c r="J3" s="9">
        <v>3.1059519999999998</v>
      </c>
    </row>
    <row r="4" spans="1:11" x14ac:dyDescent="0.3">
      <c r="A4" t="s">
        <v>6</v>
      </c>
      <c r="B4" t="s">
        <v>6</v>
      </c>
      <c r="C4" t="s">
        <v>2</v>
      </c>
      <c r="D4" s="7">
        <v>43236</v>
      </c>
      <c r="E4" s="8">
        <v>42871.375</v>
      </c>
      <c r="F4" s="8">
        <v>42878.4375</v>
      </c>
      <c r="G4" s="9">
        <v>472000</v>
      </c>
      <c r="H4" s="9">
        <v>5.9943999999999997E-2</v>
      </c>
      <c r="I4" s="9">
        <v>1.26024E-2</v>
      </c>
      <c r="J4" s="9">
        <v>2.4874399999999999</v>
      </c>
    </row>
    <row r="5" spans="1:11" x14ac:dyDescent="0.3">
      <c r="A5" t="s">
        <v>7</v>
      </c>
      <c r="B5" t="s">
        <v>7</v>
      </c>
      <c r="C5" t="s">
        <v>2</v>
      </c>
      <c r="D5" s="7">
        <v>43243</v>
      </c>
      <c r="E5" s="8">
        <v>42878.447916666664</v>
      </c>
      <c r="F5" s="8">
        <v>42885.5</v>
      </c>
      <c r="G5" s="9">
        <v>535300</v>
      </c>
      <c r="H5" s="9">
        <v>1.033129E-2</v>
      </c>
      <c r="I5" s="9">
        <v>6.9588999999999996E-3</v>
      </c>
      <c r="J5" s="9">
        <v>2.746089</v>
      </c>
    </row>
    <row r="6" spans="1:11" x14ac:dyDescent="0.3">
      <c r="A6" t="s">
        <v>8</v>
      </c>
      <c r="B6" t="s">
        <v>8</v>
      </c>
      <c r="C6" t="s">
        <v>2</v>
      </c>
      <c r="D6" s="7">
        <v>43250</v>
      </c>
      <c r="E6" s="8">
        <v>42885.510416666664</v>
      </c>
      <c r="F6" s="8">
        <v>42893.4375</v>
      </c>
      <c r="G6" s="9">
        <v>370600</v>
      </c>
      <c r="H6">
        <v>8.7090999999999991E-3</v>
      </c>
      <c r="I6">
        <v>2.8165600000000001E-3</v>
      </c>
      <c r="J6">
        <v>1.971592</v>
      </c>
    </row>
    <row r="7" spans="1:11" x14ac:dyDescent="0.3">
      <c r="A7" t="s">
        <v>11</v>
      </c>
      <c r="B7" t="s">
        <v>11</v>
      </c>
      <c r="C7" t="s">
        <v>2</v>
      </c>
      <c r="D7" s="7">
        <v>43258</v>
      </c>
      <c r="E7" s="8">
        <v>42893.447916666664</v>
      </c>
      <c r="F7" s="8">
        <v>42899.416666666664</v>
      </c>
      <c r="G7" s="9">
        <v>313600</v>
      </c>
      <c r="H7">
        <v>7.4950399999999997E-3</v>
      </c>
      <c r="I7">
        <v>4.3590399999999998E-3</v>
      </c>
      <c r="J7">
        <v>1.658944</v>
      </c>
    </row>
    <row r="8" spans="1:11" x14ac:dyDescent="0.3">
      <c r="A8" t="s">
        <v>12</v>
      </c>
      <c r="B8" t="s">
        <v>217</v>
      </c>
      <c r="C8" t="s">
        <v>2</v>
      </c>
      <c r="D8" s="7">
        <v>43264</v>
      </c>
      <c r="E8" s="8">
        <v>42899.427083333336</v>
      </c>
      <c r="F8" s="8">
        <v>42908.708333333336</v>
      </c>
      <c r="G8" s="9">
        <v>397900</v>
      </c>
      <c r="H8">
        <v>1.137994E-2</v>
      </c>
      <c r="I8">
        <v>6.40619E-3</v>
      </c>
      <c r="J8">
        <v>2.578392</v>
      </c>
    </row>
    <row r="9" spans="1:11" x14ac:dyDescent="0.3">
      <c r="A9" t="s">
        <v>13</v>
      </c>
      <c r="B9" t="s">
        <v>218</v>
      </c>
      <c r="C9" t="s">
        <v>2</v>
      </c>
      <c r="D9" s="7">
        <v>43273</v>
      </c>
      <c r="E9" s="8">
        <v>42908.71875</v>
      </c>
      <c r="F9" s="8">
        <v>42913.541666666664</v>
      </c>
      <c r="G9" s="9">
        <v>2032500</v>
      </c>
      <c r="H9">
        <v>0.19848930000000001</v>
      </c>
      <c r="I9">
        <v>0.12605661000000001</v>
      </c>
      <c r="J9">
        <v>32.911270999999999</v>
      </c>
      <c r="K9" t="s">
        <v>215</v>
      </c>
    </row>
    <row r="10" spans="1:11" x14ac:dyDescent="0.3">
      <c r="A10" t="s">
        <v>16</v>
      </c>
      <c r="B10" t="s">
        <v>219</v>
      </c>
      <c r="C10" t="s">
        <v>2</v>
      </c>
      <c r="D10" s="7">
        <v>43278</v>
      </c>
      <c r="E10" s="8">
        <v>42913.552083333336</v>
      </c>
      <c r="F10" s="8">
        <v>42921.510416666664</v>
      </c>
      <c r="G10" s="9">
        <v>1729400</v>
      </c>
      <c r="H10">
        <v>0.28400564</v>
      </c>
      <c r="I10">
        <v>0.10403818000000001</v>
      </c>
      <c r="J10">
        <v>12.171218</v>
      </c>
      <c r="K10" t="s">
        <v>216</v>
      </c>
    </row>
    <row r="11" spans="1:11" x14ac:dyDescent="0.3">
      <c r="A11" t="s">
        <v>18</v>
      </c>
      <c r="B11" t="s">
        <v>18</v>
      </c>
      <c r="C11" t="s">
        <v>2</v>
      </c>
      <c r="D11" s="7">
        <v>43286</v>
      </c>
      <c r="E11" s="8">
        <v>42921.520833333336</v>
      </c>
      <c r="F11" s="8">
        <v>42927.520833333336</v>
      </c>
      <c r="G11" s="9">
        <v>823700</v>
      </c>
      <c r="H11">
        <v>0.18368509999999999</v>
      </c>
      <c r="I11">
        <v>8.7312200000000006E-2</v>
      </c>
      <c r="J11">
        <v>5.461131</v>
      </c>
    </row>
    <row r="12" spans="1:11" x14ac:dyDescent="0.3">
      <c r="A12" t="s">
        <v>19</v>
      </c>
      <c r="B12" t="s">
        <v>19</v>
      </c>
      <c r="C12" t="s">
        <v>2</v>
      </c>
      <c r="D12" s="7">
        <v>43292</v>
      </c>
      <c r="E12" s="8">
        <v>42927.53125</v>
      </c>
      <c r="F12" s="8">
        <v>42934.489583333336</v>
      </c>
      <c r="G12" s="9">
        <v>861100</v>
      </c>
      <c r="H12">
        <v>8.4387799999999999E-2</v>
      </c>
      <c r="I12">
        <v>4.0902250000000001E-2</v>
      </c>
      <c r="J12">
        <v>4.5724410000000004</v>
      </c>
    </row>
    <row r="13" spans="1:11" x14ac:dyDescent="0.3">
      <c r="A13" t="s">
        <v>20</v>
      </c>
      <c r="B13" t="s">
        <v>20</v>
      </c>
      <c r="C13" t="s">
        <v>2</v>
      </c>
      <c r="D13" s="7">
        <v>43299</v>
      </c>
      <c r="E13" s="8">
        <v>42934.5</v>
      </c>
      <c r="F13" s="8">
        <v>42942.354166666664</v>
      </c>
      <c r="G13" s="9">
        <v>273500</v>
      </c>
      <c r="H13">
        <v>8.6426000000000003E-3</v>
      </c>
      <c r="I13">
        <v>5.9349499999999996E-3</v>
      </c>
      <c r="J13">
        <v>1.2034</v>
      </c>
    </row>
    <row r="14" spans="1:11" x14ac:dyDescent="0.3">
      <c r="A14" t="s">
        <v>22</v>
      </c>
      <c r="B14" t="s">
        <v>22</v>
      </c>
      <c r="C14" t="s">
        <v>2</v>
      </c>
      <c r="D14" s="7">
        <v>43307</v>
      </c>
      <c r="E14" s="8">
        <v>42942.364583333336</v>
      </c>
      <c r="F14" s="8">
        <v>42948.40625</v>
      </c>
      <c r="G14" s="9">
        <v>116200</v>
      </c>
      <c r="H14">
        <v>2.7655599999999998E-3</v>
      </c>
      <c r="I14">
        <v>2.4285800000000001E-3</v>
      </c>
      <c r="J14">
        <v>0.42877799999999999</v>
      </c>
    </row>
    <row r="17" spans="5:7" x14ac:dyDescent="0.3">
      <c r="E17" s="11"/>
      <c r="F17" s="11"/>
      <c r="G17" s="9"/>
    </row>
    <row r="18" spans="5:7" x14ac:dyDescent="0.3">
      <c r="E18" s="11"/>
      <c r="F18" s="11"/>
      <c r="G18" s="9"/>
    </row>
    <row r="19" spans="5:7" x14ac:dyDescent="0.3">
      <c r="E19" s="11"/>
      <c r="F19" s="11"/>
      <c r="G19" s="9"/>
    </row>
    <row r="20" spans="5:7" x14ac:dyDescent="0.3">
      <c r="E20" s="11"/>
      <c r="F20" s="11"/>
      <c r="G20" s="9"/>
    </row>
    <row r="21" spans="5:7" x14ac:dyDescent="0.3">
      <c r="E21" s="11"/>
      <c r="F21" s="11"/>
      <c r="G21" s="9"/>
    </row>
    <row r="22" spans="5:7" x14ac:dyDescent="0.3">
      <c r="E22" s="11"/>
      <c r="F22" s="11"/>
      <c r="G22" s="9"/>
    </row>
    <row r="23" spans="5:7" x14ac:dyDescent="0.3">
      <c r="E23" s="11"/>
      <c r="F23" s="11"/>
      <c r="G23" s="9"/>
    </row>
    <row r="24" spans="5:7" x14ac:dyDescent="0.3">
      <c r="E24" s="11"/>
      <c r="F24" s="11"/>
      <c r="G24" s="9"/>
    </row>
    <row r="25" spans="5:7" x14ac:dyDescent="0.3">
      <c r="E25" s="11"/>
      <c r="F25" s="11"/>
      <c r="G25" s="9"/>
    </row>
    <row r="26" spans="5:7" x14ac:dyDescent="0.3">
      <c r="E26" s="11"/>
      <c r="F26" s="11"/>
      <c r="G26" s="9"/>
    </row>
    <row r="27" spans="5:7" x14ac:dyDescent="0.3">
      <c r="E27" s="11"/>
      <c r="F27" s="11"/>
      <c r="G27" s="9"/>
    </row>
    <row r="28" spans="5:7" x14ac:dyDescent="0.3">
      <c r="E28" s="11"/>
      <c r="F28" s="11"/>
      <c r="G28" s="9"/>
    </row>
    <row r="29" spans="5:7" x14ac:dyDescent="0.3">
      <c r="E29" s="11"/>
      <c r="F29" s="11"/>
      <c r="G29" s="9"/>
    </row>
    <row r="30" spans="5:7" x14ac:dyDescent="0.3">
      <c r="E30" s="11"/>
      <c r="F30" s="11"/>
      <c r="G30" s="9"/>
    </row>
    <row r="31" spans="5:7" x14ac:dyDescent="0.3">
      <c r="E31" s="11"/>
      <c r="F31" s="11"/>
      <c r="G31" s="9"/>
    </row>
    <row r="32" spans="5:7" x14ac:dyDescent="0.3">
      <c r="E32" s="11"/>
      <c r="F32" s="11"/>
      <c r="G32" s="9"/>
    </row>
  </sheetData>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zoomScale="50" zoomScaleNormal="50" workbookViewId="0">
      <selection activeCell="T29" sqref="T29"/>
    </sheetView>
  </sheetViews>
  <sheetFormatPr defaultRowHeight="14.4" x14ac:dyDescent="0.3"/>
  <sheetData>
    <row r="1" spans="1:15" x14ac:dyDescent="0.3">
      <c r="A1" t="s">
        <v>33</v>
      </c>
      <c r="B1" s="3" t="s">
        <v>23</v>
      </c>
      <c r="C1" s="3" t="s">
        <v>24</v>
      </c>
      <c r="D1" s="3" t="s">
        <v>25</v>
      </c>
      <c r="E1" s="3" t="s">
        <v>26</v>
      </c>
      <c r="F1" s="3" t="s">
        <v>27</v>
      </c>
      <c r="G1" s="3" t="s">
        <v>28</v>
      </c>
      <c r="H1" s="3" t="s">
        <v>29</v>
      </c>
      <c r="I1" s="3" t="s">
        <v>30</v>
      </c>
      <c r="J1" s="3" t="s">
        <v>31</v>
      </c>
      <c r="K1" s="3" t="s">
        <v>32</v>
      </c>
      <c r="L1" s="3" t="s">
        <v>33</v>
      </c>
      <c r="M1" s="3" t="s">
        <v>34</v>
      </c>
      <c r="N1" s="3" t="s">
        <v>35</v>
      </c>
      <c r="O1" s="3" t="s">
        <v>36</v>
      </c>
    </row>
    <row r="2" spans="1:15" ht="43.2" x14ac:dyDescent="0.3">
      <c r="B2" s="1" t="s">
        <v>182</v>
      </c>
      <c r="C2" s="1" t="s">
        <v>182</v>
      </c>
      <c r="D2" s="2">
        <v>184200</v>
      </c>
      <c r="E2" s="2">
        <v>560</v>
      </c>
      <c r="F2" s="2">
        <v>41.1</v>
      </c>
      <c r="G2" s="2">
        <v>5.25</v>
      </c>
      <c r="H2" s="2">
        <v>0.10315199999999999</v>
      </c>
      <c r="I2" s="2">
        <v>7.5706200000000001E-3</v>
      </c>
      <c r="J2" s="2">
        <v>0.96704999999999997</v>
      </c>
      <c r="K2" s="1" t="s">
        <v>1</v>
      </c>
      <c r="L2" s="1" t="s">
        <v>1</v>
      </c>
      <c r="M2" s="2">
        <v>2.82957999208719</v>
      </c>
      <c r="N2" s="2">
        <v>6.1139139670738203</v>
      </c>
      <c r="O2" s="1" t="s">
        <v>183</v>
      </c>
    </row>
    <row r="3" spans="1:15" ht="43.2" x14ac:dyDescent="0.3">
      <c r="B3" s="1" t="s">
        <v>184</v>
      </c>
      <c r="C3" s="1" t="s">
        <v>184</v>
      </c>
      <c r="D3" s="2">
        <v>275500</v>
      </c>
      <c r="E3" s="2">
        <v>120</v>
      </c>
      <c r="F3" s="2">
        <v>35.700000000000003</v>
      </c>
      <c r="G3" s="2">
        <v>6.1</v>
      </c>
      <c r="H3" s="2">
        <v>3.3059999999999999E-2</v>
      </c>
      <c r="I3" s="2">
        <v>9.8353499999999996E-3</v>
      </c>
      <c r="J3" s="2">
        <v>1.68055</v>
      </c>
      <c r="K3" s="1" t="s">
        <v>1</v>
      </c>
      <c r="L3" s="1" t="s">
        <v>1</v>
      </c>
      <c r="M3" s="2">
        <v>4.23208082421292</v>
      </c>
      <c r="N3" s="2">
        <v>9.1443175783324495</v>
      </c>
      <c r="O3" s="1" t="s">
        <v>183</v>
      </c>
    </row>
    <row r="4" spans="1:15" s="4" customFormat="1" ht="86.4" x14ac:dyDescent="0.3">
      <c r="A4" s="4" t="s">
        <v>204</v>
      </c>
      <c r="B4" s="5" t="s">
        <v>185</v>
      </c>
      <c r="C4" s="5" t="s">
        <v>185</v>
      </c>
      <c r="D4" s="6">
        <v>129100</v>
      </c>
      <c r="E4" s="6">
        <v>35295</v>
      </c>
      <c r="G4" s="6">
        <v>217.21</v>
      </c>
      <c r="H4" s="6">
        <v>4.5565844999999996</v>
      </c>
      <c r="J4" s="6">
        <v>28.041810999999999</v>
      </c>
      <c r="K4" s="5" t="s">
        <v>9</v>
      </c>
      <c r="L4" s="5" t="s">
        <v>186</v>
      </c>
      <c r="M4" s="6">
        <v>1.9831638272445999</v>
      </c>
      <c r="N4" s="6">
        <v>4.2850504514073302</v>
      </c>
      <c r="O4" s="5" t="s">
        <v>183</v>
      </c>
    </row>
    <row r="5" spans="1:15" ht="43.2" x14ac:dyDescent="0.3">
      <c r="B5" s="1" t="s">
        <v>187</v>
      </c>
      <c r="C5" s="1" t="s">
        <v>187</v>
      </c>
      <c r="D5" s="2">
        <v>103100</v>
      </c>
      <c r="E5" s="2">
        <v>3720</v>
      </c>
      <c r="F5" s="2">
        <v>2525</v>
      </c>
      <c r="G5" s="2">
        <v>17.2</v>
      </c>
      <c r="H5" s="2">
        <v>0.38353199999999998</v>
      </c>
      <c r="I5" s="2">
        <v>0.26032749999999999</v>
      </c>
      <c r="J5" s="2">
        <v>1.77332</v>
      </c>
      <c r="K5" s="1" t="s">
        <v>1</v>
      </c>
      <c r="L5" s="1" t="s">
        <v>1</v>
      </c>
      <c r="M5" s="2">
        <v>1.58376599991416</v>
      </c>
      <c r="N5" s="2">
        <v>3.4220658523632501</v>
      </c>
      <c r="O5" s="1" t="s">
        <v>183</v>
      </c>
    </row>
    <row r="6" spans="1:15" ht="57.6" x14ac:dyDescent="0.3">
      <c r="B6" s="1" t="s">
        <v>188</v>
      </c>
      <c r="C6" s="1" t="s">
        <v>188</v>
      </c>
      <c r="D6" s="2">
        <v>60300</v>
      </c>
      <c r="E6" s="2">
        <v>2975</v>
      </c>
      <c r="F6" s="2">
        <v>2070</v>
      </c>
      <c r="G6" s="2">
        <v>14.08</v>
      </c>
      <c r="H6" s="2">
        <v>0.17939250000000001</v>
      </c>
      <c r="I6" s="2">
        <v>0.124821</v>
      </c>
      <c r="J6" s="2">
        <v>0.849024</v>
      </c>
      <c r="K6" s="1" t="s">
        <v>9</v>
      </c>
      <c r="L6" s="1" t="s">
        <v>189</v>
      </c>
      <c r="M6" s="2">
        <v>0.92629573030867196</v>
      </c>
      <c r="N6" s="2">
        <v>2.0014604354753098</v>
      </c>
      <c r="O6" s="1" t="s">
        <v>183</v>
      </c>
    </row>
    <row r="7" spans="1:15" ht="57.6" x14ac:dyDescent="0.3">
      <c r="B7" s="1" t="s">
        <v>190</v>
      </c>
      <c r="C7" s="1" t="s">
        <v>190</v>
      </c>
      <c r="D7" s="2">
        <v>85100</v>
      </c>
      <c r="E7" s="2">
        <v>3585</v>
      </c>
      <c r="F7" s="2">
        <v>2240</v>
      </c>
      <c r="G7" s="2">
        <v>19.079999999999998</v>
      </c>
      <c r="H7" s="2">
        <v>0.30508350000000001</v>
      </c>
      <c r="I7" s="2">
        <v>0.19062399999999999</v>
      </c>
      <c r="J7" s="2">
        <v>1.6237079999999999</v>
      </c>
      <c r="K7" s="1" t="s">
        <v>9</v>
      </c>
      <c r="L7" s="1" t="s">
        <v>189</v>
      </c>
      <c r="M7" s="2">
        <v>1.30725981176232</v>
      </c>
      <c r="N7" s="2">
        <v>2.8246149761019699</v>
      </c>
      <c r="O7" s="1" t="s">
        <v>183</v>
      </c>
    </row>
    <row r="8" spans="1:15" ht="43.2" x14ac:dyDescent="0.3">
      <c r="B8" s="1" t="s">
        <v>191</v>
      </c>
      <c r="C8" s="1" t="s">
        <v>191</v>
      </c>
      <c r="D8" s="2">
        <v>104100</v>
      </c>
      <c r="E8" s="2">
        <v>815</v>
      </c>
      <c r="F8" s="2">
        <v>490</v>
      </c>
      <c r="G8" s="2">
        <v>7.97</v>
      </c>
      <c r="H8" s="2">
        <v>8.48415E-2</v>
      </c>
      <c r="I8" s="2">
        <v>5.1008999999999999E-2</v>
      </c>
      <c r="J8" s="2">
        <v>0.829677</v>
      </c>
      <c r="K8" s="1" t="s">
        <v>1</v>
      </c>
      <c r="L8" s="1" t="s">
        <v>1</v>
      </c>
      <c r="M8" s="2">
        <v>1.59912745481149</v>
      </c>
      <c r="N8" s="2">
        <v>3.4552575677110999</v>
      </c>
      <c r="O8" s="1" t="s">
        <v>183</v>
      </c>
    </row>
    <row r="9" spans="1:15" ht="43.2" x14ac:dyDescent="0.3">
      <c r="B9" s="1" t="s">
        <v>192</v>
      </c>
      <c r="C9" s="1" t="s">
        <v>192</v>
      </c>
      <c r="D9" s="2">
        <v>70500</v>
      </c>
      <c r="E9" s="2">
        <v>912</v>
      </c>
      <c r="F9" s="2">
        <v>585</v>
      </c>
      <c r="G9" s="2">
        <v>8.94</v>
      </c>
      <c r="H9" s="2">
        <v>6.4296000000000006E-2</v>
      </c>
      <c r="I9" s="2">
        <v>4.1242500000000001E-2</v>
      </c>
      <c r="J9" s="2">
        <v>0.63027</v>
      </c>
      <c r="K9" s="1" t="s">
        <v>1</v>
      </c>
      <c r="L9" s="1" t="s">
        <v>1</v>
      </c>
      <c r="M9" s="2">
        <v>1.08298257026138</v>
      </c>
      <c r="N9" s="2">
        <v>2.3400159320233702</v>
      </c>
      <c r="O9" s="1" t="s">
        <v>183</v>
      </c>
    </row>
    <row r="10" spans="1:15" ht="43.2" x14ac:dyDescent="0.3">
      <c r="B10" s="1" t="s">
        <v>193</v>
      </c>
      <c r="C10" s="1" t="s">
        <v>193</v>
      </c>
      <c r="D10" s="2">
        <v>149000</v>
      </c>
      <c r="E10" s="2">
        <v>525</v>
      </c>
      <c r="F10" s="2">
        <v>218</v>
      </c>
      <c r="G10" s="2">
        <v>21.83</v>
      </c>
      <c r="H10" s="2">
        <v>7.8225000000000003E-2</v>
      </c>
      <c r="I10" s="2">
        <v>3.2481999999999997E-2</v>
      </c>
      <c r="J10" s="2">
        <v>3.2526700000000002</v>
      </c>
      <c r="K10" s="1" t="s">
        <v>1</v>
      </c>
      <c r="L10" s="1" t="s">
        <v>1</v>
      </c>
      <c r="M10" s="2">
        <v>2.2888567797013599</v>
      </c>
      <c r="N10" s="2">
        <v>4.9455655868295301</v>
      </c>
      <c r="O10" s="1" t="s">
        <v>183</v>
      </c>
    </row>
    <row r="11" spans="1:15" ht="43.2" x14ac:dyDescent="0.3">
      <c r="B11" s="1" t="s">
        <v>194</v>
      </c>
      <c r="C11" s="1" t="s">
        <v>194</v>
      </c>
      <c r="D11" s="2">
        <v>101500</v>
      </c>
      <c r="E11" s="2">
        <v>385</v>
      </c>
      <c r="F11" s="2">
        <v>137</v>
      </c>
      <c r="G11" s="2">
        <v>12.71</v>
      </c>
      <c r="H11" s="2">
        <v>3.9077500000000001E-2</v>
      </c>
      <c r="I11" s="2">
        <v>1.3905499999999999E-2</v>
      </c>
      <c r="J11" s="2">
        <v>1.290065</v>
      </c>
      <c r="K11" s="1" t="s">
        <v>1</v>
      </c>
      <c r="L11" s="1" t="s">
        <v>1</v>
      </c>
      <c r="M11" s="2">
        <v>1.5591876720784399</v>
      </c>
      <c r="N11" s="2">
        <v>3.3689591078066901</v>
      </c>
      <c r="O11" s="1" t="s">
        <v>183</v>
      </c>
    </row>
    <row r="12" spans="1:15" ht="43.2" x14ac:dyDescent="0.3">
      <c r="B12" s="1" t="s">
        <v>195</v>
      </c>
      <c r="C12" s="1" t="s">
        <v>195</v>
      </c>
      <c r="D12" s="2">
        <v>148900</v>
      </c>
      <c r="E12" s="2">
        <v>312</v>
      </c>
      <c r="F12" s="2">
        <v>143</v>
      </c>
      <c r="G12" s="2">
        <v>28.87</v>
      </c>
      <c r="H12" s="2">
        <v>4.6456799999999999E-2</v>
      </c>
      <c r="I12" s="2">
        <v>2.1292700000000001E-2</v>
      </c>
      <c r="J12" s="2">
        <v>4.298743</v>
      </c>
      <c r="K12" s="1" t="s">
        <v>1</v>
      </c>
      <c r="L12" s="1" t="s">
        <v>1</v>
      </c>
      <c r="M12" s="2">
        <v>2.2873206342116301</v>
      </c>
      <c r="N12" s="2">
        <v>4.9422464152947398</v>
      </c>
      <c r="O12" s="1" t="s">
        <v>183</v>
      </c>
    </row>
    <row r="13" spans="1:15" ht="43.2" x14ac:dyDescent="0.3">
      <c r="B13" s="1" t="s">
        <v>196</v>
      </c>
      <c r="C13" s="1" t="s">
        <v>196</v>
      </c>
      <c r="D13" s="2">
        <v>135100</v>
      </c>
      <c r="E13" s="2">
        <v>87.1</v>
      </c>
      <c r="F13" s="2">
        <v>70.5</v>
      </c>
      <c r="G13" s="2">
        <v>14.03</v>
      </c>
      <c r="H13" s="2">
        <v>1.176721E-2</v>
      </c>
      <c r="I13" s="2">
        <v>9.5245499999999997E-3</v>
      </c>
      <c r="J13" s="2">
        <v>1.8954530000000001</v>
      </c>
      <c r="K13" s="1" t="s">
        <v>1</v>
      </c>
      <c r="L13" s="1" t="s">
        <v>1</v>
      </c>
      <c r="M13" s="2">
        <v>2.0753325566285499</v>
      </c>
      <c r="N13" s="2">
        <v>4.4842007434944202</v>
      </c>
      <c r="O13" s="1" t="s">
        <v>183</v>
      </c>
    </row>
    <row r="14" spans="1:15" ht="43.2" x14ac:dyDescent="0.3">
      <c r="B14" s="1" t="s">
        <v>197</v>
      </c>
      <c r="C14" s="1" t="s">
        <v>197</v>
      </c>
      <c r="D14" s="2">
        <v>78900</v>
      </c>
      <c r="E14" s="2">
        <v>350</v>
      </c>
      <c r="F14" s="2">
        <v>191</v>
      </c>
      <c r="G14" s="2">
        <v>12.15</v>
      </c>
      <c r="H14" s="2">
        <v>2.7615000000000001E-2</v>
      </c>
      <c r="I14" s="2">
        <v>1.5069900000000001E-2</v>
      </c>
      <c r="J14" s="2">
        <v>0.95863500000000001</v>
      </c>
      <c r="K14" s="1" t="s">
        <v>1</v>
      </c>
      <c r="L14" s="1" t="s">
        <v>1</v>
      </c>
      <c r="M14" s="2">
        <v>1.21201879139891</v>
      </c>
      <c r="N14" s="2">
        <v>2.6188263409452999</v>
      </c>
      <c r="O14" s="1" t="s">
        <v>183</v>
      </c>
    </row>
    <row r="15" spans="1:15" ht="43.2" x14ac:dyDescent="0.3">
      <c r="B15" s="1" t="s">
        <v>198</v>
      </c>
      <c r="C15" s="1" t="s">
        <v>198</v>
      </c>
      <c r="D15" s="2">
        <v>146700</v>
      </c>
      <c r="E15" s="2">
        <v>95.3</v>
      </c>
      <c r="F15" s="2">
        <v>94.8</v>
      </c>
      <c r="G15" s="2">
        <v>16.97</v>
      </c>
      <c r="H15" s="2">
        <v>1.398051E-2</v>
      </c>
      <c r="I15" s="2">
        <v>1.390716E-2</v>
      </c>
      <c r="J15" s="2">
        <v>2.4894989999999999</v>
      </c>
      <c r="K15" s="1" t="s">
        <v>1</v>
      </c>
      <c r="L15" s="1" t="s">
        <v>1</v>
      </c>
      <c r="M15" s="2">
        <v>2.2535254334375101</v>
      </c>
      <c r="N15" s="2">
        <v>4.8692246415294704</v>
      </c>
      <c r="O15" s="1" t="s">
        <v>183</v>
      </c>
    </row>
    <row r="16" spans="1:15" ht="43.2" x14ac:dyDescent="0.3">
      <c r="B16" s="1" t="s">
        <v>199</v>
      </c>
      <c r="C16" s="1" t="s">
        <v>199</v>
      </c>
      <c r="D16" s="2">
        <v>86500</v>
      </c>
      <c r="E16" s="2">
        <v>127</v>
      </c>
      <c r="F16" s="2">
        <v>118</v>
      </c>
      <c r="G16" s="2">
        <v>10.199999999999999</v>
      </c>
      <c r="H16" s="2">
        <v>1.09855E-2</v>
      </c>
      <c r="I16" s="2">
        <v>1.0207000000000001E-2</v>
      </c>
      <c r="J16" s="2">
        <v>0.88229999999999997</v>
      </c>
      <c r="K16" s="1" t="s">
        <v>1</v>
      </c>
      <c r="L16" s="1" t="s">
        <v>1</v>
      </c>
      <c r="M16" s="2">
        <v>1.32876584861858</v>
      </c>
      <c r="N16" s="2">
        <v>2.8710833775889499</v>
      </c>
      <c r="O16" s="1" t="s">
        <v>183</v>
      </c>
    </row>
    <row r="17" spans="2:15" ht="43.2" x14ac:dyDescent="0.3">
      <c r="B17" s="1" t="s">
        <v>181</v>
      </c>
      <c r="C17" s="1" t="s">
        <v>181</v>
      </c>
      <c r="D17" s="2">
        <v>65400</v>
      </c>
      <c r="E17" s="2">
        <v>32.799999999999997</v>
      </c>
      <c r="F17" s="2">
        <v>18.7</v>
      </c>
      <c r="G17" s="2">
        <v>0.57999999999999996</v>
      </c>
      <c r="H17" s="2">
        <v>2.1451199999999999E-3</v>
      </c>
      <c r="I17" s="2">
        <v>1.22298E-3</v>
      </c>
      <c r="J17" s="2">
        <v>3.7932E-2</v>
      </c>
      <c r="K17" s="1" t="s">
        <v>1</v>
      </c>
      <c r="L17" s="1" t="s">
        <v>1</v>
      </c>
      <c r="M17" s="2">
        <v>0.467166258289753</v>
      </c>
      <c r="N17" s="2">
        <v>1.78250204415372</v>
      </c>
      <c r="O17" s="1" t="s">
        <v>165</v>
      </c>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topLeftCell="A13" zoomScale="70" zoomScaleNormal="70" workbookViewId="0">
      <selection activeCell="G2" sqref="G2:J13"/>
    </sheetView>
  </sheetViews>
  <sheetFormatPr defaultRowHeight="14.4" x14ac:dyDescent="0.3"/>
  <cols>
    <col min="1" max="1" width="16.21875" bestFit="1" customWidth="1"/>
    <col min="2" max="2" width="20.33203125" bestFit="1" customWidth="1"/>
    <col min="3" max="3" width="11.5546875" bestFit="1" customWidth="1"/>
    <col min="5" max="6" width="14.6640625" bestFit="1" customWidth="1"/>
    <col min="7" max="7" width="14.6640625" customWidth="1"/>
    <col min="8" max="9" width="11.6640625" bestFit="1" customWidth="1"/>
    <col min="10" max="10" width="11.5546875" bestFit="1" customWidth="1"/>
    <col min="11" max="11" width="54.6640625" bestFit="1" customWidth="1"/>
  </cols>
  <sheetData>
    <row r="1" spans="1:20" x14ac:dyDescent="0.3">
      <c r="A1" t="s">
        <v>251</v>
      </c>
      <c r="B1" t="s">
        <v>244</v>
      </c>
      <c r="C1" t="s">
        <v>206</v>
      </c>
      <c r="D1" t="s">
        <v>207</v>
      </c>
      <c r="E1" t="s">
        <v>208</v>
      </c>
      <c r="F1" t="s">
        <v>209</v>
      </c>
      <c r="G1" t="s">
        <v>214</v>
      </c>
      <c r="H1" t="s">
        <v>211</v>
      </c>
      <c r="I1" t="s">
        <v>212</v>
      </c>
      <c r="J1" t="s">
        <v>213</v>
      </c>
      <c r="K1" t="s">
        <v>210</v>
      </c>
      <c r="L1" t="s">
        <v>245</v>
      </c>
      <c r="M1" t="s">
        <v>246</v>
      </c>
      <c r="N1" t="s">
        <v>247</v>
      </c>
      <c r="O1" t="s">
        <v>248</v>
      </c>
    </row>
    <row r="2" spans="1:20" x14ac:dyDescent="0.3">
      <c r="A2" s="23" t="s">
        <v>184</v>
      </c>
      <c r="B2" s="23" t="s">
        <v>184</v>
      </c>
      <c r="C2" t="s">
        <v>183</v>
      </c>
      <c r="D2" s="7">
        <v>43222</v>
      </c>
      <c r="E2" s="8">
        <v>42857.604166666664</v>
      </c>
      <c r="F2" s="8">
        <v>42864.666666666664</v>
      </c>
      <c r="G2">
        <v>275500</v>
      </c>
      <c r="H2" s="9">
        <v>3.3059999999999999E-2</v>
      </c>
      <c r="I2" s="9">
        <v>9.8353499999999996E-3</v>
      </c>
      <c r="J2" s="9">
        <v>1.68055</v>
      </c>
      <c r="L2" s="14"/>
      <c r="M2" s="15"/>
      <c r="N2" s="15"/>
      <c r="O2" s="15"/>
      <c r="Q2">
        <f>LOG10(G2)</f>
        <v>5.4401216031878041</v>
      </c>
      <c r="R2">
        <f t="shared" ref="R2:T2" si="0">LOG10(H2)</f>
        <v>-1.4806971507645714</v>
      </c>
      <c r="S2">
        <f t="shared" si="0"/>
        <v>-2.0072101807000031</v>
      </c>
      <c r="T2">
        <f t="shared" si="0"/>
        <v>0.22545143819857089</v>
      </c>
    </row>
    <row r="3" spans="1:20" s="19" customFormat="1" x14ac:dyDescent="0.3">
      <c r="A3" s="23" t="s">
        <v>185</v>
      </c>
      <c r="B3" s="23" t="s">
        <v>185</v>
      </c>
      <c r="C3" t="s">
        <v>183</v>
      </c>
      <c r="D3" s="7">
        <v>43229</v>
      </c>
      <c r="E3" s="8">
        <v>42864.677083333336</v>
      </c>
      <c r="F3" s="8">
        <v>42871.520833333336</v>
      </c>
      <c r="H3" s="9"/>
      <c r="J3" s="9"/>
      <c r="K3" s="4" t="s">
        <v>265</v>
      </c>
      <c r="L3" s="4">
        <v>129100</v>
      </c>
      <c r="M3" s="18">
        <v>4.5565844999999996</v>
      </c>
      <c r="N3" s="28">
        <v>-999</v>
      </c>
      <c r="O3" s="18">
        <v>28.041810999999999</v>
      </c>
      <c r="Q3"/>
      <c r="R3"/>
      <c r="S3"/>
      <c r="T3"/>
    </row>
    <row r="4" spans="1:20" x14ac:dyDescent="0.3">
      <c r="A4" s="23" t="s">
        <v>187</v>
      </c>
      <c r="B4" s="23" t="s">
        <v>187</v>
      </c>
      <c r="C4" t="s">
        <v>183</v>
      </c>
      <c r="D4" s="7">
        <v>43236</v>
      </c>
      <c r="E4" s="8">
        <v>42871.53125</v>
      </c>
      <c r="F4" s="8">
        <v>42878.520833333336</v>
      </c>
      <c r="L4">
        <v>103100</v>
      </c>
      <c r="M4" s="9">
        <v>0.38353199999999998</v>
      </c>
      <c r="N4" s="9">
        <v>0.26032749999999999</v>
      </c>
      <c r="O4" s="9">
        <v>1.77332</v>
      </c>
      <c r="Q4">
        <f t="shared" ref="Q4:T6" si="1">LOG10(L4)</f>
        <v>5.0132586652835167</v>
      </c>
      <c r="R4">
        <f t="shared" si="1"/>
        <v>-0.41619839483458598</v>
      </c>
      <c r="S4">
        <f t="shared" si="1"/>
        <v>-0.58447995226180327</v>
      </c>
      <c r="T4">
        <f t="shared" si="1"/>
        <v>0.24878711219106547</v>
      </c>
    </row>
    <row r="5" spans="1:20" x14ac:dyDescent="0.3">
      <c r="A5" s="23" t="s">
        <v>188</v>
      </c>
      <c r="B5" s="23" t="s">
        <v>188</v>
      </c>
      <c r="C5" t="s">
        <v>183</v>
      </c>
      <c r="D5" s="7">
        <v>43243</v>
      </c>
      <c r="E5" s="8">
        <v>42878.53125</v>
      </c>
      <c r="F5" s="8">
        <v>42885.614583333336</v>
      </c>
      <c r="L5">
        <v>60300</v>
      </c>
      <c r="M5" s="9">
        <v>0.17939250000000001</v>
      </c>
      <c r="N5" s="9">
        <v>0.124821</v>
      </c>
      <c r="O5" s="9">
        <v>0.849024</v>
      </c>
      <c r="Q5">
        <f t="shared" si="1"/>
        <v>4.7803173121401512</v>
      </c>
      <c r="R5">
        <f t="shared" si="1"/>
        <v>-0.74619571779528027</v>
      </c>
      <c r="S5">
        <f t="shared" si="1"/>
        <v>-0.90371234240293097</v>
      </c>
      <c r="T5">
        <f t="shared" si="1"/>
        <v>-7.1080033053755279E-2</v>
      </c>
    </row>
    <row r="6" spans="1:20" x14ac:dyDescent="0.3">
      <c r="A6" s="23" t="s">
        <v>190</v>
      </c>
      <c r="B6" s="23" t="s">
        <v>190</v>
      </c>
      <c r="C6" t="s">
        <v>183</v>
      </c>
      <c r="D6" s="7">
        <v>43250</v>
      </c>
      <c r="E6" s="8">
        <v>42885.625</v>
      </c>
      <c r="F6" s="8">
        <v>42893.53125</v>
      </c>
      <c r="L6">
        <v>85100</v>
      </c>
      <c r="M6">
        <v>0.30508350000000001</v>
      </c>
      <c r="N6">
        <v>0.19062399999999999</v>
      </c>
      <c r="O6">
        <v>1.6237079999999999</v>
      </c>
      <c r="Q6">
        <f t="shared" si="1"/>
        <v>4.929929560084588</v>
      </c>
      <c r="R6">
        <f t="shared" si="1"/>
        <v>-0.51558127991159319</v>
      </c>
      <c r="S6">
        <f t="shared" si="1"/>
        <v>-0.71982242158124932</v>
      </c>
      <c r="T6">
        <f t="shared" si="1"/>
        <v>0.21050793045266417</v>
      </c>
    </row>
    <row r="7" spans="1:20" x14ac:dyDescent="0.3">
      <c r="A7" s="23" t="s">
        <v>191</v>
      </c>
      <c r="B7" s="23" t="s">
        <v>191</v>
      </c>
      <c r="C7" t="s">
        <v>183</v>
      </c>
      <c r="D7" s="7">
        <v>43258</v>
      </c>
      <c r="E7" s="12">
        <v>42893.541666666664</v>
      </c>
      <c r="F7" s="12">
        <v>42899.604166666664</v>
      </c>
      <c r="G7">
        <v>104100</v>
      </c>
      <c r="H7">
        <v>8.48415E-2</v>
      </c>
      <c r="I7">
        <v>5.1008999999999999E-2</v>
      </c>
      <c r="J7">
        <v>0.829677</v>
      </c>
      <c r="Q7">
        <f t="shared" ref="Q7:Q13" si="2">LOG10(G7)</f>
        <v>5.0174507295105357</v>
      </c>
      <c r="R7">
        <f t="shared" ref="R7:R13" si="3">LOG10(H7)</f>
        <v>-1.0713916617494872</v>
      </c>
      <c r="S7">
        <f t="shared" ref="S7:S13" si="4">LOG10(I7)</f>
        <v>-1.2923531904609502</v>
      </c>
      <c r="T7">
        <f t="shared" ref="T7:T13" si="5">LOG10(J7)</f>
        <v>-8.1090949093351503E-2</v>
      </c>
    </row>
    <row r="8" spans="1:20" x14ac:dyDescent="0.3">
      <c r="A8" s="23" t="s">
        <v>192</v>
      </c>
      <c r="B8" s="23" t="s">
        <v>192</v>
      </c>
      <c r="C8" t="s">
        <v>183</v>
      </c>
      <c r="D8" s="7">
        <v>43264</v>
      </c>
      <c r="E8" s="12">
        <v>42899.614583333336</v>
      </c>
      <c r="F8" s="12">
        <v>42908.572916666664</v>
      </c>
      <c r="G8">
        <v>70500</v>
      </c>
      <c r="H8">
        <v>6.4296000000000006E-2</v>
      </c>
      <c r="I8">
        <v>4.1242500000000001E-2</v>
      </c>
      <c r="J8">
        <v>0.63027</v>
      </c>
      <c r="N8" s="14"/>
      <c r="Q8">
        <f t="shared" si="2"/>
        <v>4.8481891169913984</v>
      </c>
      <c r="R8">
        <f t="shared" si="3"/>
        <v>-1.1918160446801851</v>
      </c>
      <c r="S8">
        <f t="shared" si="4"/>
        <v>-1.3846550169264209</v>
      </c>
      <c r="T8">
        <f t="shared" si="5"/>
        <v>-0.20047336421268364</v>
      </c>
    </row>
    <row r="9" spans="1:20" s="19" customFormat="1" x14ac:dyDescent="0.3">
      <c r="A9" s="23" t="s">
        <v>193</v>
      </c>
      <c r="B9" s="23" t="s">
        <v>261</v>
      </c>
      <c r="C9" t="s">
        <v>183</v>
      </c>
      <c r="D9" s="7">
        <v>43273</v>
      </c>
      <c r="E9" s="12">
        <v>42908.583333333336</v>
      </c>
      <c r="F9" s="8">
        <v>42913.666666666664</v>
      </c>
      <c r="G9" s="19">
        <v>250500</v>
      </c>
      <c r="H9">
        <v>0.1173025</v>
      </c>
      <c r="I9">
        <v>4.6387499999999998E-2</v>
      </c>
      <c r="J9">
        <v>4.5427350000000004</v>
      </c>
      <c r="K9" t="s">
        <v>262</v>
      </c>
      <c r="M9" s="14"/>
      <c r="N9" s="14"/>
      <c r="O9" s="14"/>
      <c r="Q9">
        <f t="shared" si="2"/>
        <v>5.3988077302032647</v>
      </c>
      <c r="R9">
        <f t="shared" si="3"/>
        <v>-0.93069273191997937</v>
      </c>
      <c r="S9">
        <f t="shared" si="4"/>
        <v>-1.3335990326431606</v>
      </c>
      <c r="T9">
        <f t="shared" si="5"/>
        <v>0.65731740302759911</v>
      </c>
    </row>
    <row r="10" spans="1:20" s="19" customFormat="1" x14ac:dyDescent="0.3">
      <c r="A10" s="23" t="s">
        <v>195</v>
      </c>
      <c r="B10" s="23" t="s">
        <v>263</v>
      </c>
      <c r="C10" t="s">
        <v>183</v>
      </c>
      <c r="D10" s="7">
        <v>43278</v>
      </c>
      <c r="E10" s="8">
        <v>42913.677083333336</v>
      </c>
      <c r="F10" s="8">
        <v>42921.416666666664</v>
      </c>
      <c r="G10" s="19">
        <v>284000</v>
      </c>
      <c r="H10">
        <v>5.822401E-2</v>
      </c>
      <c r="I10">
        <v>3.0817250000000001E-2</v>
      </c>
      <c r="J10">
        <v>6.1941959999999998</v>
      </c>
      <c r="K10" t="s">
        <v>262</v>
      </c>
      <c r="M10" s="14"/>
      <c r="N10" s="14"/>
      <c r="O10" s="14"/>
      <c r="Q10">
        <f t="shared" si="2"/>
        <v>5.453318340047038</v>
      </c>
      <c r="R10">
        <f t="shared" si="3"/>
        <v>-1.23489788716756</v>
      </c>
      <c r="S10">
        <f t="shared" si="4"/>
        <v>-1.5112061184764964</v>
      </c>
      <c r="T10">
        <f t="shared" si="5"/>
        <v>0.79198494341206693</v>
      </c>
    </row>
    <row r="11" spans="1:20" x14ac:dyDescent="0.3">
      <c r="A11" s="23" t="s">
        <v>197</v>
      </c>
      <c r="B11" s="23" t="s">
        <v>197</v>
      </c>
      <c r="C11" t="s">
        <v>183</v>
      </c>
      <c r="D11" s="7">
        <v>43286</v>
      </c>
      <c r="E11" s="8">
        <v>42921.427083333336</v>
      </c>
      <c r="F11" s="8">
        <v>42927.614583333336</v>
      </c>
      <c r="G11">
        <v>78900</v>
      </c>
      <c r="H11">
        <v>2.7615000000000001E-2</v>
      </c>
      <c r="I11">
        <v>1.5069900000000001E-2</v>
      </c>
      <c r="J11">
        <v>0.95863500000000001</v>
      </c>
      <c r="Q11">
        <f t="shared" si="2"/>
        <v>4.8970770032094206</v>
      </c>
      <c r="R11">
        <f t="shared" si="3"/>
        <v>-1.5588549524403041</v>
      </c>
      <c r="S11">
        <f t="shared" si="4"/>
        <v>-1.8218896295428522</v>
      </c>
      <c r="T11">
        <f t="shared" si="5"/>
        <v>-1.8346718856248695E-2</v>
      </c>
    </row>
    <row r="12" spans="1:20" s="19" customFormat="1" x14ac:dyDescent="0.3">
      <c r="A12" s="23" t="s">
        <v>198</v>
      </c>
      <c r="B12" s="23" t="s">
        <v>198</v>
      </c>
      <c r="C12" t="s">
        <v>183</v>
      </c>
      <c r="D12" s="7">
        <v>43292</v>
      </c>
      <c r="E12" s="8">
        <v>42927.625</v>
      </c>
      <c r="F12" s="8">
        <v>42934.59375</v>
      </c>
      <c r="G12" s="19">
        <v>146700</v>
      </c>
      <c r="H12">
        <v>1.398051E-2</v>
      </c>
      <c r="I12">
        <v>1.390716E-2</v>
      </c>
      <c r="J12">
        <v>2.4894989999999999</v>
      </c>
      <c r="K12"/>
      <c r="Q12">
        <f t="shared" si="2"/>
        <v>5.1664301138432824</v>
      </c>
      <c r="R12">
        <f t="shared" si="3"/>
        <v>-1.8544769855183909</v>
      </c>
      <c r="S12">
        <f t="shared" si="4"/>
        <v>-1.8567615488186511</v>
      </c>
      <c r="T12">
        <f t="shared" si="5"/>
        <v>0.39611195616095846</v>
      </c>
    </row>
    <row r="13" spans="1:20" x14ac:dyDescent="0.3">
      <c r="A13" s="23" t="s">
        <v>199</v>
      </c>
      <c r="B13" s="23" t="s">
        <v>199</v>
      </c>
      <c r="C13" t="s">
        <v>183</v>
      </c>
      <c r="D13" s="7">
        <v>43299</v>
      </c>
      <c r="E13" s="8">
        <v>42934.604166666664</v>
      </c>
      <c r="F13" s="8">
        <v>42942.59375</v>
      </c>
      <c r="G13">
        <v>86500</v>
      </c>
      <c r="H13">
        <v>1.09855E-2</v>
      </c>
      <c r="I13">
        <v>1.0207000000000001E-2</v>
      </c>
      <c r="J13">
        <v>0.88229999999999997</v>
      </c>
      <c r="Q13">
        <f t="shared" si="2"/>
        <v>4.9370161074648138</v>
      </c>
      <c r="R13">
        <f t="shared" si="3"/>
        <v>-1.959180171579229</v>
      </c>
      <c r="S13">
        <f t="shared" si="4"/>
        <v>-1.9911018852290603</v>
      </c>
      <c r="T13">
        <f t="shared" si="5"/>
        <v>-5.4383720773268231E-2</v>
      </c>
    </row>
    <row r="14" spans="1:20" x14ac:dyDescent="0.3">
      <c r="B14" s="23" t="s">
        <v>264</v>
      </c>
      <c r="C14" t="s">
        <v>183</v>
      </c>
      <c r="D14" s="7">
        <v>43307</v>
      </c>
      <c r="E14" s="8">
        <v>42942.604166666664</v>
      </c>
      <c r="F14" s="8">
        <v>42948.375</v>
      </c>
      <c r="K14" s="9" t="s">
        <v>256</v>
      </c>
      <c r="L14" s="27">
        <v>36600</v>
      </c>
      <c r="M14" s="27">
        <v>6.8624999999999997E-3</v>
      </c>
      <c r="N14" s="27">
        <v>4.8678000000000003E-3</v>
      </c>
      <c r="O14" s="27">
        <v>0.37331999999999999</v>
      </c>
    </row>
    <row r="15" spans="1:20" x14ac:dyDescent="0.3">
      <c r="A15" s="11"/>
      <c r="B15" s="11"/>
      <c r="C15" s="9"/>
      <c r="E15" s="11"/>
      <c r="F15" s="11"/>
      <c r="G15" s="11"/>
      <c r="H15" s="9"/>
      <c r="I15" s="9"/>
    </row>
    <row r="16" spans="1:20" x14ac:dyDescent="0.3">
      <c r="A16" s="11"/>
      <c r="B16" s="11"/>
      <c r="C16" s="9"/>
      <c r="E16" s="11"/>
      <c r="F16" s="11"/>
      <c r="G16" s="11"/>
      <c r="H16" s="9"/>
      <c r="I16" s="9"/>
    </row>
    <row r="17" spans="1:15" x14ac:dyDescent="0.3">
      <c r="A17" s="11"/>
      <c r="B17" s="11"/>
      <c r="C17" s="9"/>
      <c r="E17" s="11"/>
      <c r="F17" s="11"/>
      <c r="G17" s="11"/>
      <c r="H17" s="9"/>
      <c r="I17" s="9"/>
      <c r="L17" s="1"/>
      <c r="M17" s="1"/>
      <c r="N17" s="2"/>
    </row>
    <row r="18" spans="1:15" x14ac:dyDescent="0.3">
      <c r="A18" s="11"/>
      <c r="B18" s="11"/>
      <c r="C18" s="9"/>
      <c r="E18" s="11"/>
      <c r="F18" s="11"/>
      <c r="G18" s="11"/>
      <c r="H18" s="9"/>
      <c r="I18" s="9"/>
      <c r="L18" s="1"/>
      <c r="M18" s="1"/>
      <c r="N18" s="2"/>
    </row>
    <row r="19" spans="1:15" x14ac:dyDescent="0.3">
      <c r="A19" s="11"/>
      <c r="B19" s="11"/>
      <c r="C19" s="9"/>
      <c r="E19" s="11"/>
      <c r="F19" s="11"/>
      <c r="G19" s="11"/>
      <c r="H19" s="9"/>
      <c r="I19" s="9"/>
      <c r="L19" s="1"/>
      <c r="M19" s="1"/>
      <c r="N19" s="2"/>
    </row>
    <row r="20" spans="1:15" x14ac:dyDescent="0.3">
      <c r="A20" s="11"/>
      <c r="B20" s="11"/>
      <c r="C20" s="9"/>
      <c r="E20" s="11"/>
      <c r="F20" s="11"/>
      <c r="G20" s="11"/>
      <c r="H20" s="9"/>
      <c r="I20" s="9"/>
      <c r="L20" s="1"/>
      <c r="M20" s="11"/>
      <c r="N20" s="11"/>
      <c r="O20" s="9"/>
    </row>
    <row r="21" spans="1:15" x14ac:dyDescent="0.3">
      <c r="A21" s="11"/>
      <c r="B21" s="11"/>
      <c r="C21" s="9"/>
      <c r="E21" s="11"/>
      <c r="F21" s="11"/>
      <c r="G21" s="11"/>
      <c r="H21" s="9"/>
      <c r="I21" s="9"/>
      <c r="L21" s="1"/>
      <c r="M21" s="11"/>
      <c r="N21" s="11"/>
      <c r="O21" s="9"/>
    </row>
    <row r="22" spans="1:15" x14ac:dyDescent="0.3">
      <c r="A22" s="11"/>
      <c r="B22" s="11"/>
      <c r="C22" s="9"/>
      <c r="E22" s="11"/>
      <c r="F22" s="11"/>
      <c r="G22" s="11"/>
      <c r="H22" s="9"/>
      <c r="I22" s="9"/>
      <c r="L22" s="1"/>
      <c r="M22" s="11"/>
      <c r="N22" s="11"/>
      <c r="O22" s="9"/>
    </row>
    <row r="23" spans="1:15" x14ac:dyDescent="0.3">
      <c r="A23" s="11"/>
      <c r="B23" s="11"/>
      <c r="C23" s="9"/>
      <c r="E23" s="11"/>
      <c r="F23" s="11"/>
      <c r="G23" s="11"/>
      <c r="H23" s="9"/>
      <c r="L23" s="1"/>
      <c r="M23" s="11"/>
      <c r="N23" s="11"/>
      <c r="O23" s="9"/>
    </row>
    <row r="24" spans="1:15" x14ac:dyDescent="0.3">
      <c r="A24" s="11"/>
      <c r="B24" s="11"/>
      <c r="C24" s="9"/>
      <c r="F24" s="11"/>
      <c r="G24" s="11"/>
      <c r="H24" s="9"/>
      <c r="L24" s="1"/>
      <c r="M24" s="11"/>
      <c r="N24" s="11"/>
      <c r="O24" s="9"/>
    </row>
    <row r="25" spans="1:15" x14ac:dyDescent="0.3">
      <c r="A25" s="11"/>
      <c r="B25" s="11"/>
      <c r="C25" s="9"/>
      <c r="F25" s="11"/>
      <c r="G25" s="11"/>
      <c r="H25" s="9"/>
      <c r="L25" s="1"/>
      <c r="M25" s="11"/>
      <c r="N25" s="11"/>
      <c r="O25" s="9"/>
    </row>
    <row r="26" spans="1:15" x14ac:dyDescent="0.3">
      <c r="A26" s="11"/>
      <c r="B26" s="11"/>
      <c r="C26" s="9"/>
      <c r="F26" s="11"/>
      <c r="G26" s="11"/>
      <c r="H26" s="9"/>
      <c r="L26" s="1"/>
      <c r="M26" s="11"/>
      <c r="N26" s="11"/>
      <c r="O26" s="9"/>
    </row>
    <row r="27" spans="1:15" x14ac:dyDescent="0.3">
      <c r="A27" s="11"/>
      <c r="B27" s="11"/>
      <c r="C27" s="9"/>
      <c r="F27" s="11"/>
      <c r="G27" s="11"/>
      <c r="H27" s="9"/>
      <c r="L27" s="1"/>
      <c r="M27" s="11"/>
      <c r="N27" s="11"/>
      <c r="O27" s="9"/>
    </row>
    <row r="28" spans="1:15" x14ac:dyDescent="0.3">
      <c r="A28" s="11"/>
      <c r="B28" s="11"/>
      <c r="C28" s="9"/>
      <c r="F28" s="11"/>
      <c r="G28" s="11"/>
      <c r="H28" s="9"/>
      <c r="L28" s="1"/>
      <c r="M28" s="11"/>
      <c r="N28" s="11"/>
      <c r="O28" s="9"/>
    </row>
    <row r="29" spans="1:15" x14ac:dyDescent="0.3">
      <c r="A29" s="11"/>
      <c r="B29" s="11"/>
      <c r="C29" s="9"/>
      <c r="F29" s="11"/>
      <c r="G29" s="11"/>
      <c r="H29" s="9"/>
      <c r="L29" s="1"/>
      <c r="M29" s="11"/>
      <c r="N29" s="11"/>
      <c r="O29" s="9"/>
    </row>
    <row r="30" spans="1:15" x14ac:dyDescent="0.3">
      <c r="A30" s="11"/>
      <c r="B30" s="11"/>
      <c r="C30" s="9"/>
      <c r="F30" s="11"/>
      <c r="G30" s="11"/>
      <c r="H30" s="9"/>
      <c r="L30" s="1"/>
      <c r="M30" s="11"/>
      <c r="N30" s="11"/>
      <c r="O30" s="9"/>
    </row>
    <row r="31" spans="1:15" x14ac:dyDescent="0.3">
      <c r="A31" s="11"/>
      <c r="B31" s="11"/>
      <c r="C31" s="9"/>
      <c r="L31" s="1"/>
      <c r="M31" s="11"/>
      <c r="N31" s="11"/>
      <c r="O31" s="9"/>
    </row>
    <row r="32" spans="1:15" x14ac:dyDescent="0.3">
      <c r="A32" s="11"/>
      <c r="B32" s="11"/>
      <c r="C32" s="9"/>
      <c r="L32" s="1"/>
      <c r="M32" s="11"/>
      <c r="N32" s="11"/>
      <c r="O32" s="9"/>
    </row>
    <row r="33" spans="1:15" x14ac:dyDescent="0.3">
      <c r="A33" s="11"/>
      <c r="B33" s="11"/>
      <c r="C33" s="9"/>
      <c r="L33" s="1"/>
      <c r="M33" s="11"/>
      <c r="N33" s="11"/>
      <c r="O33" s="9"/>
    </row>
    <row r="34" spans="1:15" x14ac:dyDescent="0.3">
      <c r="A34" s="11"/>
      <c r="B34" s="11"/>
      <c r="C34" s="9"/>
      <c r="L34" s="1"/>
      <c r="M34" s="11"/>
      <c r="N34" s="11"/>
      <c r="O34" s="9"/>
    </row>
    <row r="35" spans="1:15" x14ac:dyDescent="0.3">
      <c r="A35" s="11"/>
      <c r="B35" s="11"/>
      <c r="C35" s="9"/>
      <c r="L35" s="1"/>
      <c r="M35" s="1"/>
      <c r="N35" s="2"/>
    </row>
    <row r="36" spans="1:15" x14ac:dyDescent="0.3">
      <c r="A36" s="11"/>
      <c r="B36" s="11"/>
      <c r="C36" s="9"/>
    </row>
    <row r="37" spans="1:15" x14ac:dyDescent="0.3">
      <c r="A37" s="11"/>
      <c r="B37" s="11"/>
      <c r="C37" s="9"/>
    </row>
    <row r="38" spans="1:15" x14ac:dyDescent="0.3">
      <c r="A38" s="11"/>
      <c r="B38" s="11"/>
      <c r="C38" s="9"/>
    </row>
    <row r="39" spans="1:15" x14ac:dyDescent="0.3">
      <c r="A39" s="11"/>
      <c r="B39" s="11"/>
      <c r="C39" s="9"/>
    </row>
    <row r="40" spans="1:15" x14ac:dyDescent="0.3">
      <c r="A40" s="11"/>
      <c r="B40" s="11"/>
      <c r="C40" s="9"/>
    </row>
    <row r="41" spans="1:15" x14ac:dyDescent="0.3">
      <c r="A41" s="11"/>
      <c r="B41" s="11"/>
      <c r="C41" s="9"/>
    </row>
  </sheetData>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1"/>
  <sheetViews>
    <sheetView tabSelected="1" topLeftCell="D1" zoomScale="110" zoomScaleNormal="110" workbookViewId="0">
      <selection activeCell="S4" sqref="S4"/>
    </sheetView>
  </sheetViews>
  <sheetFormatPr defaultRowHeight="14.4" x14ac:dyDescent="0.3"/>
  <cols>
    <col min="1" max="1" width="18.77734375" bestFit="1" customWidth="1"/>
    <col min="5" max="5" width="11.5546875" bestFit="1" customWidth="1"/>
    <col min="6" max="6" width="10.5546875" customWidth="1"/>
    <col min="8" max="8" width="14.88671875" customWidth="1"/>
    <col min="9" max="9" width="23.21875" bestFit="1" customWidth="1"/>
    <col min="10" max="11" width="9.6640625" customWidth="1"/>
    <col min="12" max="12" width="9.88671875" bestFit="1" customWidth="1"/>
    <col min="13" max="16" width="9.88671875" customWidth="1"/>
    <col min="17" max="17" width="12" bestFit="1" customWidth="1"/>
  </cols>
  <sheetData>
    <row r="1" spans="1:22" x14ac:dyDescent="0.3">
      <c r="A1" t="s">
        <v>243</v>
      </c>
      <c r="B1" t="s">
        <v>268</v>
      </c>
      <c r="C1" t="s">
        <v>269</v>
      </c>
      <c r="D1" t="s">
        <v>271</v>
      </c>
      <c r="E1" t="s">
        <v>266</v>
      </c>
      <c r="F1" t="s">
        <v>277</v>
      </c>
      <c r="G1" t="s">
        <v>274</v>
      </c>
      <c r="H1" t="s">
        <v>275</v>
      </c>
      <c r="I1" t="s">
        <v>267</v>
      </c>
      <c r="J1" t="s">
        <v>272</v>
      </c>
      <c r="K1" t="s">
        <v>280</v>
      </c>
      <c r="L1" t="s">
        <v>273</v>
      </c>
      <c r="M1" t="s">
        <v>300</v>
      </c>
      <c r="N1" t="s">
        <v>301</v>
      </c>
      <c r="O1" t="s">
        <v>302</v>
      </c>
      <c r="P1" t="s">
        <v>303</v>
      </c>
      <c r="Q1" t="s">
        <v>304</v>
      </c>
      <c r="R1" t="s">
        <v>276</v>
      </c>
      <c r="S1" t="s">
        <v>305</v>
      </c>
    </row>
    <row r="2" spans="1:22" x14ac:dyDescent="0.3">
      <c r="A2" s="11" t="s">
        <v>297</v>
      </c>
      <c r="B2">
        <v>-12.116</v>
      </c>
      <c r="C2">
        <v>1.843</v>
      </c>
      <c r="D2" s="8" t="s">
        <v>211</v>
      </c>
      <c r="E2" s="9">
        <v>276000</v>
      </c>
      <c r="F2" s="29">
        <v>1.36</v>
      </c>
      <c r="G2">
        <f t="shared" ref="G2:G4" si="0">LOG10(E2)</f>
        <v>5.4409090820652173</v>
      </c>
      <c r="H2">
        <f t="shared" ref="H2:H50" si="1">(G2*C2)+B2</f>
        <v>-2.088404561753805</v>
      </c>
      <c r="I2" s="4">
        <f>10^H2</f>
        <v>8.1582204815090938E-3</v>
      </c>
      <c r="J2" s="30">
        <v>0.85</v>
      </c>
      <c r="K2" s="30">
        <v>0.84</v>
      </c>
      <c r="L2" s="31">
        <v>7.5680000000000002E-6</v>
      </c>
      <c r="M2">
        <f>(204.4*E2)/1000000000</f>
        <v>5.6414400000000003E-2</v>
      </c>
      <c r="N2">
        <f>(55.1*E2)/1000000000</f>
        <v>1.52076E-2</v>
      </c>
      <c r="O2">
        <f>(77.3*E2)/1000000000</f>
        <v>2.1334800000000001E-2</v>
      </c>
      <c r="P2" s="19">
        <f>(66.2*E2)/1000000000</f>
        <v>1.8271200000000001E-2</v>
      </c>
      <c r="Q2">
        <f>(I2/E2)*1000000000</f>
        <v>29.558769860540195</v>
      </c>
      <c r="R2" t="s">
        <v>283</v>
      </c>
      <c r="S2" t="s">
        <v>315</v>
      </c>
    </row>
    <row r="3" spans="1:22" x14ac:dyDescent="0.3">
      <c r="A3" s="11" t="s">
        <v>297</v>
      </c>
      <c r="B3">
        <v>-10.978300000000001</v>
      </c>
      <c r="C3">
        <v>1.5894999999999999</v>
      </c>
      <c r="D3" s="30" t="s">
        <v>212</v>
      </c>
      <c r="E3" s="9">
        <v>276000</v>
      </c>
      <c r="F3" s="29">
        <v>1.36</v>
      </c>
      <c r="G3">
        <f t="shared" si="0"/>
        <v>5.4409090820652173</v>
      </c>
      <c r="H3">
        <f t="shared" si="1"/>
        <v>-2.3299750140573376</v>
      </c>
      <c r="I3" s="4">
        <f>10^H3</f>
        <v>4.6776205192064794E-3</v>
      </c>
      <c r="J3" s="30">
        <v>0.84</v>
      </c>
      <c r="K3" s="30">
        <v>0.82</v>
      </c>
      <c r="L3" s="31">
        <v>1.173E-5</v>
      </c>
      <c r="M3">
        <f>(42.9*E3)/1000000000</f>
        <v>1.1840399999999999E-2</v>
      </c>
      <c r="N3">
        <f>(21.1*E3)/1000000000</f>
        <v>5.8236E-3</v>
      </c>
      <c r="O3">
        <f>(17.6*E3)/1000000000</f>
        <v>4.8576000000000001E-3</v>
      </c>
      <c r="P3" s="19">
        <f>(19.35*E3)/1000000000</f>
        <v>5.3406E-3</v>
      </c>
      <c r="Q3">
        <f>(I3/E3)*1000000000</f>
        <v>16.947900431907534</v>
      </c>
      <c r="R3" t="s">
        <v>283</v>
      </c>
    </row>
    <row r="4" spans="1:22" x14ac:dyDescent="0.3">
      <c r="A4" s="1" t="s">
        <v>320</v>
      </c>
      <c r="B4">
        <v>-10.978300000000001</v>
      </c>
      <c r="C4">
        <v>1.5894999999999999</v>
      </c>
      <c r="D4" s="30" t="s">
        <v>212</v>
      </c>
      <c r="E4" s="2">
        <v>277700</v>
      </c>
      <c r="F4" s="29">
        <v>1.37</v>
      </c>
      <c r="G4">
        <f t="shared" si="0"/>
        <v>5.4435758797502576</v>
      </c>
      <c r="H4">
        <f t="shared" si="1"/>
        <v>-2.3257361391369678</v>
      </c>
      <c r="I4" s="19">
        <f>10^H4</f>
        <v>4.723499360158403E-3</v>
      </c>
      <c r="J4" s="30">
        <v>0.84</v>
      </c>
      <c r="K4" s="30">
        <v>0.82</v>
      </c>
      <c r="L4" s="31">
        <v>1.173E-5</v>
      </c>
      <c r="M4">
        <f>(42.9*E4)/1000000000</f>
        <v>1.191333E-2</v>
      </c>
      <c r="N4">
        <f>(13.4*E4)/1000000000</f>
        <v>3.7211800000000001E-3</v>
      </c>
      <c r="O4">
        <f>(60.6*E4)/1000000000</f>
        <v>1.6828619999999999E-2</v>
      </c>
      <c r="P4" s="19">
        <f>(37*E4)/1000000000</f>
        <v>1.02749E-2</v>
      </c>
      <c r="Q4">
        <f>(I4/E4)*1000000000</f>
        <v>17.009360317459141</v>
      </c>
      <c r="R4" t="s">
        <v>283</v>
      </c>
      <c r="S4" t="s">
        <v>321</v>
      </c>
    </row>
    <row r="5" spans="1:22" x14ac:dyDescent="0.3">
      <c r="A5" s="34"/>
      <c r="D5" s="30"/>
      <c r="E5" s="9"/>
      <c r="F5" s="29"/>
      <c r="I5" s="19"/>
      <c r="J5" s="30"/>
      <c r="K5" s="30"/>
      <c r="L5" s="31"/>
      <c r="O5" s="9"/>
      <c r="P5" s="9"/>
      <c r="Q5" s="9"/>
    </row>
    <row r="6" spans="1:22" x14ac:dyDescent="0.3">
      <c r="A6" s="34"/>
      <c r="D6" s="30"/>
      <c r="E6" s="9"/>
      <c r="F6" s="29"/>
      <c r="I6" s="19"/>
      <c r="J6" s="30"/>
      <c r="K6" s="30"/>
      <c r="L6" s="31"/>
    </row>
    <row r="7" spans="1:22" x14ac:dyDescent="0.3">
      <c r="A7" t="s">
        <v>43</v>
      </c>
      <c r="B7" s="30">
        <v>-9.0364000000000004</v>
      </c>
      <c r="C7" s="30">
        <v>1.476</v>
      </c>
      <c r="D7" s="8" t="s">
        <v>211</v>
      </c>
      <c r="E7" s="2">
        <v>55000</v>
      </c>
      <c r="F7">
        <v>2.1800000000000002</v>
      </c>
      <c r="G7">
        <f>LOG10(E7)</f>
        <v>4.7403626894942441</v>
      </c>
      <c r="H7">
        <f t="shared" si="1"/>
        <v>-2.0396246703064964</v>
      </c>
      <c r="I7" s="4">
        <f>10^H7</f>
        <v>9.1279936585225412E-3</v>
      </c>
      <c r="J7" s="30">
        <v>0.91479999999999995</v>
      </c>
      <c r="K7" s="30">
        <v>0.9042</v>
      </c>
      <c r="L7" s="32">
        <v>1.49E-5</v>
      </c>
      <c r="M7">
        <f>(374.8*E7)/1000000000</f>
        <v>2.0614E-2</v>
      </c>
      <c r="N7" s="19">
        <f>(78.5*E7)/1000000000</f>
        <v>4.3175000000000002E-3</v>
      </c>
      <c r="O7">
        <f>(109*E7)/1000000000</f>
        <v>5.9950000000000003E-3</v>
      </c>
      <c r="P7" s="19">
        <f>(93.75*E7)/1000000000</f>
        <v>5.1562500000000002E-3</v>
      </c>
      <c r="Q7">
        <f t="shared" ref="Q7:Q12" si="2">(I7/E7)*1000000000</f>
        <v>165.9635210640462</v>
      </c>
      <c r="S7" t="s">
        <v>310</v>
      </c>
      <c r="T7" s="2"/>
      <c r="U7" s="2"/>
      <c r="V7" s="2"/>
    </row>
    <row r="8" spans="1:22" x14ac:dyDescent="0.3">
      <c r="A8" t="s">
        <v>278</v>
      </c>
      <c r="B8" s="30">
        <v>-9.0364000000000004</v>
      </c>
      <c r="C8" s="30">
        <v>1.476</v>
      </c>
      <c r="D8" s="8" t="s">
        <v>211</v>
      </c>
      <c r="E8" s="2">
        <v>303200</v>
      </c>
      <c r="F8">
        <v>12</v>
      </c>
      <c r="G8">
        <f t="shared" ref="G8:G19" si="3">LOG10(E8)</f>
        <v>5.4817291969600159</v>
      </c>
      <c r="H8">
        <f t="shared" si="1"/>
        <v>-0.9453677052870173</v>
      </c>
      <c r="I8" s="4">
        <f t="shared" ref="I8:I50" si="4">10^H8</f>
        <v>0.11340502396904105</v>
      </c>
      <c r="J8" s="30">
        <v>0.91479999999999995</v>
      </c>
      <c r="K8" s="30">
        <v>0.9042</v>
      </c>
      <c r="L8" s="32">
        <v>1.49E-5</v>
      </c>
      <c r="M8">
        <f>(374.8*E8)/1000000000</f>
        <v>0.11363935999999999</v>
      </c>
      <c r="N8" s="19">
        <f>(102*E8)/1000000000</f>
        <v>3.09264E-2</v>
      </c>
      <c r="O8">
        <f>(315*E8)/1000000000</f>
        <v>9.5507999999999996E-2</v>
      </c>
      <c r="P8" s="19">
        <f>(208.5*E8)/1000000000</f>
        <v>6.3217200000000001E-2</v>
      </c>
      <c r="Q8">
        <f t="shared" si="2"/>
        <v>374.0271239084467</v>
      </c>
      <c r="S8" s="36" t="s">
        <v>313</v>
      </c>
    </row>
    <row r="9" spans="1:22" x14ac:dyDescent="0.3">
      <c r="A9" t="s">
        <v>279</v>
      </c>
      <c r="B9" s="30">
        <v>-9.0364000000000004</v>
      </c>
      <c r="C9" s="30">
        <v>1.476</v>
      </c>
      <c r="D9" s="30" t="s">
        <v>211</v>
      </c>
      <c r="E9" s="2">
        <v>90100</v>
      </c>
      <c r="F9" s="29">
        <v>3.57</v>
      </c>
      <c r="G9">
        <f t="shared" si="3"/>
        <v>4.9547247909790633</v>
      </c>
      <c r="H9">
        <f t="shared" si="1"/>
        <v>-1.7232262085149035</v>
      </c>
      <c r="I9" s="4">
        <f t="shared" si="4"/>
        <v>1.8913582209594302E-2</v>
      </c>
      <c r="J9" s="30">
        <v>0.91479999999999995</v>
      </c>
      <c r="K9" s="30">
        <v>0.9042</v>
      </c>
      <c r="L9" s="32">
        <v>1.49E-5</v>
      </c>
      <c r="M9">
        <f>(374.8*E9)/1000000000</f>
        <v>3.3769479999999998E-2</v>
      </c>
      <c r="N9" s="19">
        <f>(102*E9)/1000000000</f>
        <v>9.1902000000000008E-3</v>
      </c>
      <c r="O9">
        <f>(315*E9)/1000000000</f>
        <v>2.83815E-2</v>
      </c>
      <c r="P9" s="19">
        <f>(208.5*E9)/1000000000</f>
        <v>1.878585E-2</v>
      </c>
      <c r="Q9">
        <f t="shared" si="2"/>
        <v>209.91767158262266</v>
      </c>
      <c r="R9" s="2"/>
      <c r="S9" t="s">
        <v>314</v>
      </c>
      <c r="T9" s="2"/>
      <c r="U9" s="2"/>
      <c r="V9" s="2"/>
    </row>
    <row r="10" spans="1:22" x14ac:dyDescent="0.3">
      <c r="A10" t="s">
        <v>43</v>
      </c>
      <c r="B10" s="30">
        <v>-8.3796999999999997</v>
      </c>
      <c r="C10" s="30">
        <v>1.2522</v>
      </c>
      <c r="D10" s="8" t="s">
        <v>212</v>
      </c>
      <c r="E10" s="2">
        <v>55000</v>
      </c>
      <c r="F10">
        <v>2.1800000000000002</v>
      </c>
      <c r="G10">
        <f t="shared" si="3"/>
        <v>4.7403626894942441</v>
      </c>
      <c r="H10">
        <f t="shared" si="1"/>
        <v>-2.4438178402153072</v>
      </c>
      <c r="I10" s="4">
        <f t="shared" si="4"/>
        <v>3.5990025949251799E-3</v>
      </c>
      <c r="J10" s="30">
        <v>0.89500000000000002</v>
      </c>
      <c r="K10" s="30">
        <v>0.88200000000000001</v>
      </c>
      <c r="L10" s="31">
        <v>3.4499999999999998E-5</v>
      </c>
      <c r="M10">
        <f>(116.11*E10)/1000000000</f>
        <v>6.3860499999999999E-3</v>
      </c>
      <c r="N10" s="19">
        <f>(30.3*E10)/1000000000</f>
        <v>1.6665E-3</v>
      </c>
      <c r="O10">
        <f>(37.6*E10)/1000000000</f>
        <v>2.068E-3</v>
      </c>
      <c r="P10" s="19">
        <f>(33.95*E10)/1000000000</f>
        <v>1.8672500000000002E-3</v>
      </c>
      <c r="Q10">
        <f t="shared" si="2"/>
        <v>65.43641081682145</v>
      </c>
      <c r="S10" t="s">
        <v>310</v>
      </c>
      <c r="T10" s="2"/>
      <c r="U10" s="2"/>
      <c r="V10" s="2"/>
    </row>
    <row r="11" spans="1:22" x14ac:dyDescent="0.3">
      <c r="A11" t="s">
        <v>278</v>
      </c>
      <c r="B11" s="30">
        <v>-8.3796999999999997</v>
      </c>
      <c r="C11" s="30">
        <v>1.2522</v>
      </c>
      <c r="D11" s="8" t="s">
        <v>212</v>
      </c>
      <c r="E11" s="2">
        <v>303200</v>
      </c>
      <c r="F11">
        <v>12</v>
      </c>
      <c r="G11">
        <f t="shared" si="3"/>
        <v>5.4817291969600159</v>
      </c>
      <c r="H11">
        <f t="shared" si="1"/>
        <v>-1.5154786995666676</v>
      </c>
      <c r="I11" s="4">
        <f t="shared" si="4"/>
        <v>3.0515556922552034E-2</v>
      </c>
      <c r="J11" s="30">
        <v>0.89500000000000002</v>
      </c>
      <c r="K11" s="30">
        <v>0.88200000000000001</v>
      </c>
      <c r="L11" s="31">
        <v>3.4499999999999998E-5</v>
      </c>
      <c r="M11">
        <f>(116.11*E11)/1000000000</f>
        <v>3.5204552E-2</v>
      </c>
      <c r="N11" s="19">
        <f>(60.5*E11)/1000000000</f>
        <v>1.8343600000000002E-2</v>
      </c>
      <c r="O11">
        <f>(106*E11)/1000000000</f>
        <v>3.21392E-2</v>
      </c>
      <c r="P11" s="19">
        <f>(83.25*E11)/1000000000</f>
        <v>2.5241400000000001E-2</v>
      </c>
      <c r="Q11">
        <f t="shared" si="2"/>
        <v>100.64497665749352</v>
      </c>
      <c r="S11" s="36" t="s">
        <v>313</v>
      </c>
    </row>
    <row r="12" spans="1:22" x14ac:dyDescent="0.3">
      <c r="A12" t="s">
        <v>279</v>
      </c>
      <c r="B12" s="30">
        <v>-8.3796999999999997</v>
      </c>
      <c r="C12" s="30">
        <v>1.2522</v>
      </c>
      <c r="D12" s="30" t="s">
        <v>212</v>
      </c>
      <c r="E12" s="2">
        <v>90100</v>
      </c>
      <c r="F12" s="29">
        <v>3.57</v>
      </c>
      <c r="G12">
        <f t="shared" si="3"/>
        <v>4.9547247909790633</v>
      </c>
      <c r="H12">
        <f t="shared" si="1"/>
        <v>-2.1753936167360166</v>
      </c>
      <c r="I12" s="4">
        <f t="shared" si="4"/>
        <v>6.677384478175276E-3</v>
      </c>
      <c r="J12" s="30">
        <v>0.89500000000000002</v>
      </c>
      <c r="K12" s="30">
        <v>0.88200000000000001</v>
      </c>
      <c r="L12" s="31">
        <v>3.4499999999999998E-5</v>
      </c>
      <c r="M12">
        <f>(116.11*E12)/1000000000</f>
        <v>1.0461511E-2</v>
      </c>
      <c r="N12" s="19">
        <f>(60.5*E12)/1000000000</f>
        <v>5.4510499999999998E-3</v>
      </c>
      <c r="O12">
        <f>(106*E12)/1000000000</f>
        <v>9.5505999999999994E-3</v>
      </c>
      <c r="P12" s="19">
        <f>(83.25*E12)/1000000000</f>
        <v>7.500825E-3</v>
      </c>
      <c r="Q12">
        <f t="shared" si="2"/>
        <v>74.110815518038592</v>
      </c>
      <c r="S12" t="s">
        <v>314</v>
      </c>
      <c r="T12" s="2"/>
      <c r="U12" s="2"/>
      <c r="V12" s="2"/>
    </row>
    <row r="13" spans="1:22" x14ac:dyDescent="0.3">
      <c r="B13" s="30"/>
      <c r="C13" s="30"/>
      <c r="D13" s="30"/>
      <c r="E13" s="2"/>
      <c r="F13" s="29"/>
      <c r="I13" s="19"/>
      <c r="J13" s="30"/>
      <c r="K13" s="30"/>
      <c r="L13" s="31"/>
    </row>
    <row r="14" spans="1:22" x14ac:dyDescent="0.3">
      <c r="B14" s="30"/>
      <c r="C14" s="30"/>
      <c r="D14" s="30"/>
      <c r="E14" s="2"/>
      <c r="F14" s="29"/>
      <c r="I14" s="19"/>
      <c r="J14" s="30"/>
      <c r="K14" s="30"/>
      <c r="L14" s="31"/>
    </row>
    <row r="15" spans="1:22" x14ac:dyDescent="0.3">
      <c r="B15" s="30"/>
      <c r="C15" s="30"/>
      <c r="D15" s="30"/>
      <c r="E15" s="2"/>
      <c r="F15" s="29"/>
      <c r="I15" s="19"/>
      <c r="J15" s="30"/>
      <c r="K15" s="30"/>
      <c r="L15" s="31"/>
    </row>
    <row r="16" spans="1:22" x14ac:dyDescent="0.3">
      <c r="A16" t="s">
        <v>281</v>
      </c>
      <c r="B16" s="30">
        <v>-11.6991</v>
      </c>
      <c r="C16" s="30">
        <v>1.7379</v>
      </c>
      <c r="D16" s="30" t="s">
        <v>211</v>
      </c>
      <c r="E16" s="2">
        <v>604082.59978679998</v>
      </c>
      <c r="F16" s="29">
        <v>1.5</v>
      </c>
      <c r="G16">
        <f t="shared" si="3"/>
        <v>5.7810963263346471</v>
      </c>
      <c r="H16">
        <f t="shared" si="1"/>
        <v>-1.6521326944630168</v>
      </c>
      <c r="I16">
        <f t="shared" si="4"/>
        <v>2.2277543765500989E-2</v>
      </c>
      <c r="J16" s="30">
        <v>0.88400000000000001</v>
      </c>
      <c r="K16" s="30">
        <v>0.87</v>
      </c>
      <c r="L16" s="31">
        <v>5.1430000000000001E-5</v>
      </c>
      <c r="M16">
        <f>(177.26*E16)/1000000000</f>
        <v>0.10707968163820816</v>
      </c>
      <c r="N16" s="19"/>
      <c r="P16" s="4">
        <f>(61.2*E16)/1000000000</f>
        <v>3.6969855106952158E-2</v>
      </c>
      <c r="Q16">
        <f>(I16/E16)*1000000000</f>
        <v>36.878307326454106</v>
      </c>
      <c r="R16" t="s">
        <v>283</v>
      </c>
      <c r="S16" t="s">
        <v>306</v>
      </c>
    </row>
    <row r="17" spans="1:23" x14ac:dyDescent="0.3">
      <c r="A17" s="11" t="s">
        <v>282</v>
      </c>
      <c r="B17">
        <v>-11.6991</v>
      </c>
      <c r="C17" s="30">
        <v>1.7379</v>
      </c>
      <c r="D17" s="30" t="s">
        <v>211</v>
      </c>
      <c r="E17" s="9">
        <v>1733237.370326</v>
      </c>
      <c r="F17" s="29">
        <v>4.37</v>
      </c>
      <c r="G17">
        <f t="shared" si="3"/>
        <v>6.2388580442853714</v>
      </c>
      <c r="H17">
        <f t="shared" si="1"/>
        <v>-0.85658860483645327</v>
      </c>
      <c r="I17" s="19">
        <f t="shared" si="4"/>
        <v>0.13912699187543218</v>
      </c>
      <c r="J17" s="30">
        <v>0.88400000000000001</v>
      </c>
      <c r="K17" s="30">
        <v>0.87</v>
      </c>
      <c r="L17" s="31">
        <v>5.1430000000000001E-5</v>
      </c>
      <c r="M17">
        <f>(177.26*E17)/1000000000</f>
        <v>0.30723365626398674</v>
      </c>
      <c r="N17" s="19">
        <f>(79.7*E17)/1000000000</f>
        <v>0.13813901841498219</v>
      </c>
      <c r="O17">
        <f>(408*E17)/1000000000</f>
        <v>0.70716084709300808</v>
      </c>
      <c r="P17" s="4">
        <f>(243.85*E17)/1000000000</f>
        <v>0.42264993275399509</v>
      </c>
      <c r="Q17">
        <f>(I17/E17)*1000000000</f>
        <v>80.270016246686481</v>
      </c>
      <c r="R17" t="s">
        <v>283</v>
      </c>
      <c r="S17" t="s">
        <v>307</v>
      </c>
    </row>
    <row r="18" spans="1:23" x14ac:dyDescent="0.3">
      <c r="A18" t="s">
        <v>281</v>
      </c>
      <c r="B18" s="30">
        <v>-11.57</v>
      </c>
      <c r="C18" s="30">
        <v>1.6947000000000001</v>
      </c>
      <c r="D18" s="30" t="s">
        <v>212</v>
      </c>
      <c r="E18" s="2">
        <v>604082.59978679998</v>
      </c>
      <c r="F18" s="29">
        <v>1.5</v>
      </c>
      <c r="G18">
        <f t="shared" si="3"/>
        <v>5.7810963263346471</v>
      </c>
      <c r="H18">
        <f t="shared" si="1"/>
        <v>-1.7727760557606729</v>
      </c>
      <c r="I18">
        <f t="shared" si="4"/>
        <v>1.6874229218435115E-2</v>
      </c>
      <c r="J18" s="30">
        <v>0.88</v>
      </c>
      <c r="K18" s="30">
        <v>0.86499999999999999</v>
      </c>
      <c r="L18" s="31">
        <v>5.999E-5</v>
      </c>
      <c r="M18">
        <f>(118.5*E18)/1000000000</f>
        <v>7.158378807473581E-2</v>
      </c>
      <c r="N18" s="19"/>
      <c r="P18" s="4">
        <f>(40.6*E18)/1000000000</f>
        <v>2.4525753551344082E-2</v>
      </c>
      <c r="Q18">
        <f>(I18/E18)*1000000000</f>
        <v>27.933645538524974</v>
      </c>
      <c r="R18" t="s">
        <v>284</v>
      </c>
      <c r="S18" t="s">
        <v>306</v>
      </c>
    </row>
    <row r="19" spans="1:23" x14ac:dyDescent="0.3">
      <c r="A19" s="11" t="s">
        <v>282</v>
      </c>
      <c r="B19">
        <v>-11.57</v>
      </c>
      <c r="C19" s="30">
        <v>1.6947000000000001</v>
      </c>
      <c r="D19" s="30" t="s">
        <v>212</v>
      </c>
      <c r="E19" s="9">
        <v>1733237.370326</v>
      </c>
      <c r="F19" s="29">
        <v>4.37</v>
      </c>
      <c r="G19">
        <f t="shared" si="3"/>
        <v>6.2388580442853714</v>
      </c>
      <c r="H19">
        <f t="shared" si="1"/>
        <v>-0.99700727234958109</v>
      </c>
      <c r="I19" s="19">
        <f t="shared" si="4"/>
        <v>0.1006914807717032</v>
      </c>
      <c r="J19" s="30">
        <v>0.88</v>
      </c>
      <c r="K19" s="30">
        <v>0.86499999999999999</v>
      </c>
      <c r="L19" s="31">
        <v>5.999E-5</v>
      </c>
      <c r="M19">
        <f>(118.5*E19)/1000000000</f>
        <v>0.20538862838363098</v>
      </c>
      <c r="N19" s="19">
        <f>(57.2*E19)/1000000000</f>
        <v>9.9141177582647205E-2</v>
      </c>
      <c r="O19">
        <f>(357*E19)/1000000000</f>
        <v>0.61876574120638206</v>
      </c>
      <c r="P19" s="4">
        <f>(207.1*E19)/1000000000</f>
        <v>0.35895345939451462</v>
      </c>
      <c r="Q19">
        <f>(I19/E19)*1000000000</f>
        <v>58.094455205962014</v>
      </c>
      <c r="R19" t="s">
        <v>284</v>
      </c>
      <c r="S19" t="s">
        <v>307</v>
      </c>
    </row>
    <row r="20" spans="1:23" x14ac:dyDescent="0.3">
      <c r="A20" s="11"/>
      <c r="C20" s="30"/>
      <c r="D20" s="30"/>
      <c r="E20" s="9"/>
      <c r="F20" s="29"/>
      <c r="I20" s="19"/>
      <c r="J20" s="30"/>
      <c r="K20" s="30"/>
      <c r="L20" s="31"/>
    </row>
    <row r="21" spans="1:23" x14ac:dyDescent="0.3">
      <c r="A21" s="11"/>
      <c r="C21" s="30"/>
      <c r="D21" s="30"/>
      <c r="E21" s="9"/>
      <c r="F21" s="29"/>
      <c r="I21" s="19"/>
      <c r="J21" s="30"/>
      <c r="K21" s="30"/>
      <c r="L21" s="31"/>
      <c r="S21" s="2"/>
      <c r="T21" s="2"/>
      <c r="U21" s="2"/>
    </row>
    <row r="22" spans="1:23" x14ac:dyDescent="0.3">
      <c r="A22" s="11" t="s">
        <v>285</v>
      </c>
      <c r="B22">
        <v>-8.5551999999999992</v>
      </c>
      <c r="C22">
        <v>1.2616000000000001</v>
      </c>
      <c r="D22" s="30" t="s">
        <v>211</v>
      </c>
      <c r="E22" s="9">
        <v>9205737.7882649899</v>
      </c>
      <c r="F22" s="29">
        <v>12.94</v>
      </c>
      <c r="G22">
        <f t="shared" ref="G22:G25" si="5">LOG10(E22)</f>
        <v>6.9640586005024048</v>
      </c>
      <c r="H22">
        <f t="shared" si="1"/>
        <v>0.23065633039383471</v>
      </c>
      <c r="I22">
        <f t="shared" si="4"/>
        <v>1.7008120746411639</v>
      </c>
      <c r="J22" s="30">
        <v>0.85</v>
      </c>
      <c r="K22" s="30">
        <v>0.83</v>
      </c>
      <c r="L22">
        <v>1.4339999999999999E-4</v>
      </c>
      <c r="M22">
        <f>(279.33*E22)/1000000000</f>
        <v>2.5714387363960594</v>
      </c>
      <c r="N22" s="19">
        <f>(234*E22)/1000000000</f>
        <v>2.1541426424540076</v>
      </c>
      <c r="O22">
        <f>(266*E22)/1000000000</f>
        <v>2.4487262516784871</v>
      </c>
      <c r="P22" s="4">
        <f>(250*E22)/1000000000</f>
        <v>2.3014344470662476</v>
      </c>
      <c r="Q22">
        <f>(I22/E22)*1000000000</f>
        <v>184.75565063446334</v>
      </c>
      <c r="R22" s="1"/>
      <c r="S22" t="s">
        <v>308</v>
      </c>
    </row>
    <row r="23" spans="1:23" x14ac:dyDescent="0.3">
      <c r="A23" s="11" t="s">
        <v>286</v>
      </c>
      <c r="B23">
        <v>-8.5551999999999992</v>
      </c>
      <c r="C23">
        <v>1.2616000000000001</v>
      </c>
      <c r="D23" s="30" t="s">
        <v>211</v>
      </c>
      <c r="E23" s="9">
        <v>1449504.1562099999</v>
      </c>
      <c r="F23" s="29">
        <v>2.0299999999999998</v>
      </c>
      <c r="G23">
        <f t="shared" si="5"/>
        <v>6.1612194649593715</v>
      </c>
      <c r="H23">
        <f t="shared" si="1"/>
        <v>-0.78220552300725554</v>
      </c>
      <c r="I23" s="19">
        <f t="shared" si="4"/>
        <v>0.16511802183376556</v>
      </c>
      <c r="J23" s="30">
        <v>0.85</v>
      </c>
      <c r="K23" s="30">
        <v>0.83</v>
      </c>
      <c r="L23">
        <v>1.4339999999999999E-4</v>
      </c>
      <c r="M23">
        <f>(279.33*E23)/1000000000</f>
        <v>0.40488999595413921</v>
      </c>
      <c r="N23" s="19">
        <f>(134*E23)/1000000000</f>
        <v>0.19423355693214001</v>
      </c>
      <c r="O23">
        <f>(266*E23)/1000000000</f>
        <v>0.38556810555186</v>
      </c>
      <c r="P23" s="4">
        <f>(200*E23)/1000000000</f>
        <v>0.289900831242</v>
      </c>
      <c r="Q23">
        <f>(I23/E23)*1000000000</f>
        <v>113.91345180099211</v>
      </c>
      <c r="S23" t="s">
        <v>307</v>
      </c>
      <c r="T23" s="2"/>
      <c r="U23" s="2"/>
      <c r="V23" s="2"/>
      <c r="W23" s="2"/>
    </row>
    <row r="24" spans="1:23" x14ac:dyDescent="0.3">
      <c r="A24" s="11" t="s">
        <v>285</v>
      </c>
      <c r="B24">
        <v>-9.5785999999999998</v>
      </c>
      <c r="C24">
        <v>1.385</v>
      </c>
      <c r="D24" s="30" t="s">
        <v>212</v>
      </c>
      <c r="E24" s="9">
        <v>9205737.7882649899</v>
      </c>
      <c r="F24" s="29">
        <v>12.94</v>
      </c>
      <c r="G24">
        <f t="shared" si="5"/>
        <v>6.9640586005024048</v>
      </c>
      <c r="H24">
        <f t="shared" si="1"/>
        <v>6.6621161695831432E-2</v>
      </c>
      <c r="I24">
        <f t="shared" si="4"/>
        <v>1.1657922441559498</v>
      </c>
      <c r="J24" s="30">
        <v>0.94499999999999995</v>
      </c>
      <c r="K24" s="30">
        <v>0.93799999999999994</v>
      </c>
      <c r="L24" s="31">
        <v>2.5670000000000002E-6</v>
      </c>
      <c r="M24">
        <f>(184.5*E24)/1000000000</f>
        <v>1.6984586219348907</v>
      </c>
      <c r="N24" s="19">
        <f>(174*E24)/1000000000</f>
        <v>1.6017983751581082</v>
      </c>
      <c r="O24">
        <f>(183*E24)/1000000000</f>
        <v>1.6846500152524932</v>
      </c>
      <c r="P24" s="4">
        <f>(178.5*E24)/1000000000</f>
        <v>1.6432241952053008</v>
      </c>
      <c r="Q24">
        <f>(I24/E24)*1000000000</f>
        <v>126.63756789184707</v>
      </c>
      <c r="S24" t="s">
        <v>308</v>
      </c>
      <c r="T24" s="2"/>
      <c r="U24" s="2"/>
    </row>
    <row r="25" spans="1:23" x14ac:dyDescent="0.3">
      <c r="A25" s="11" t="s">
        <v>286</v>
      </c>
      <c r="B25">
        <v>-9.5785999999999998</v>
      </c>
      <c r="C25">
        <v>1.385</v>
      </c>
      <c r="D25" s="30" t="s">
        <v>212</v>
      </c>
      <c r="E25" s="9">
        <v>1449504.1562099999</v>
      </c>
      <c r="F25" s="29">
        <v>2.0299999999999998</v>
      </c>
      <c r="G25">
        <f t="shared" si="5"/>
        <v>6.1612194649593715</v>
      </c>
      <c r="H25">
        <f t="shared" si="1"/>
        <v>-1.0453110410312707</v>
      </c>
      <c r="I25" s="19">
        <f t="shared" si="4"/>
        <v>9.0092566493278153E-2</v>
      </c>
      <c r="J25" s="30">
        <v>0.94499999999999995</v>
      </c>
      <c r="K25" s="30">
        <v>0.93799999999999994</v>
      </c>
      <c r="L25" s="31">
        <v>2.5670000000000002E-6</v>
      </c>
      <c r="M25">
        <f>(184.5*E25)/1000000000</f>
        <v>0.26743351682074501</v>
      </c>
      <c r="N25" s="19">
        <f>(109*E25)/1000000000</f>
        <v>0.15799595302688998</v>
      </c>
      <c r="O25">
        <f>(174*E25)/1000000000</f>
        <v>0.25221372318053997</v>
      </c>
      <c r="P25" s="4">
        <f>(141.5*E25)/1000000000</f>
        <v>0.20510483810371499</v>
      </c>
      <c r="Q25">
        <f>(I25/E25)*1000000000</f>
        <v>62.154058756783456</v>
      </c>
      <c r="S25" t="s">
        <v>307</v>
      </c>
      <c r="V25" s="2"/>
      <c r="W25" s="2"/>
    </row>
    <row r="26" spans="1:23" x14ac:dyDescent="0.3">
      <c r="A26" s="11"/>
      <c r="D26" s="30"/>
      <c r="E26" s="9"/>
      <c r="F26" s="29"/>
      <c r="I26" s="19"/>
      <c r="J26" s="30"/>
      <c r="K26" s="30"/>
      <c r="L26" s="31"/>
      <c r="N26" s="19"/>
      <c r="O26" s="19"/>
      <c r="P26" s="19"/>
      <c r="S26" s="2"/>
      <c r="T26" s="2"/>
      <c r="U26" s="2"/>
    </row>
    <row r="27" spans="1:23" x14ac:dyDescent="0.3">
      <c r="A27" s="11"/>
      <c r="D27" s="30"/>
      <c r="E27" s="9"/>
      <c r="F27" s="29"/>
      <c r="I27" s="19"/>
      <c r="J27" s="30"/>
      <c r="K27" s="30"/>
      <c r="L27" s="31"/>
      <c r="N27" s="19"/>
      <c r="O27" s="19"/>
      <c r="P27" s="19"/>
      <c r="U27" s="2"/>
      <c r="V27" s="2"/>
      <c r="W27" s="2"/>
    </row>
    <row r="28" spans="1:23" x14ac:dyDescent="0.3">
      <c r="A28" s="11"/>
      <c r="D28" s="30"/>
      <c r="E28" s="9"/>
      <c r="F28" s="29"/>
      <c r="I28" s="19"/>
      <c r="J28" s="30"/>
      <c r="K28" s="30"/>
      <c r="L28" s="31"/>
      <c r="N28" s="19"/>
      <c r="O28" s="19"/>
      <c r="P28" s="19"/>
    </row>
    <row r="29" spans="1:23" x14ac:dyDescent="0.3">
      <c r="A29" s="11" t="s">
        <v>287</v>
      </c>
      <c r="B29">
        <v>-7.0231000000000003</v>
      </c>
      <c r="C29">
        <v>0.93340000000000001</v>
      </c>
      <c r="D29" s="30" t="s">
        <v>211</v>
      </c>
      <c r="E29" s="9">
        <v>659100</v>
      </c>
      <c r="F29" s="29">
        <v>2.57</v>
      </c>
      <c r="G29">
        <f t="shared" ref="G29:G32" si="6">LOG10(E29)</f>
        <v>5.8189513116401725</v>
      </c>
      <c r="H29">
        <f t="shared" si="1"/>
        <v>-1.5916908457150631</v>
      </c>
      <c r="I29" s="19">
        <f t="shared" si="4"/>
        <v>2.5604078750440941E-2</v>
      </c>
      <c r="J29" s="30">
        <v>0.87</v>
      </c>
      <c r="K29" s="30">
        <v>0.85699999999999998</v>
      </c>
      <c r="L29" s="31">
        <v>2.6570000000000001E-5</v>
      </c>
      <c r="M29">
        <f>(71.46*E29)/1000000000</f>
        <v>4.709928599999999E-2</v>
      </c>
      <c r="N29">
        <f>(30.3*E29)/1000000000</f>
        <v>1.9970729999999999E-2</v>
      </c>
      <c r="O29">
        <f>(81.4*E29)/1000000000</f>
        <v>5.3650740000000009E-2</v>
      </c>
      <c r="P29" s="4">
        <f>(55.85*E29)/1000000000</f>
        <v>3.6810734999999997E-2</v>
      </c>
      <c r="Q29">
        <f>(I29/E29)*1000000000</f>
        <v>38.847031938159525</v>
      </c>
      <c r="S29" t="s">
        <v>309</v>
      </c>
    </row>
    <row r="30" spans="1:23" x14ac:dyDescent="0.3">
      <c r="A30" s="11" t="s">
        <v>288</v>
      </c>
      <c r="B30">
        <v>-7.0231000000000003</v>
      </c>
      <c r="C30">
        <v>0.93340000000000001</v>
      </c>
      <c r="D30" s="30" t="s">
        <v>211</v>
      </c>
      <c r="E30" s="9">
        <v>1203800</v>
      </c>
      <c r="F30" s="29">
        <v>4.7</v>
      </c>
      <c r="G30">
        <f t="shared" si="6"/>
        <v>6.0805543389887715</v>
      </c>
      <c r="H30">
        <f t="shared" si="1"/>
        <v>-1.3475105799878806</v>
      </c>
      <c r="I30" s="4">
        <f t="shared" si="4"/>
        <v>4.4925138017928141E-2</v>
      </c>
      <c r="J30" s="30">
        <v>0.87</v>
      </c>
      <c r="K30" s="30">
        <v>0.85699999999999998</v>
      </c>
      <c r="L30" s="31">
        <v>2.6570000000000001E-5</v>
      </c>
      <c r="M30">
        <f>(71.46*E30)/1000000000</f>
        <v>8.6023547999999991E-2</v>
      </c>
      <c r="N30">
        <f>(21.2*E30)/1000000000</f>
        <v>2.5520560000000001E-2</v>
      </c>
      <c r="O30">
        <f>(23.3*E30)/1000000000</f>
        <v>2.804854E-2</v>
      </c>
      <c r="P30">
        <f>(22.25*E30)/1000000000</f>
        <v>2.6784550000000001E-2</v>
      </c>
      <c r="Q30">
        <f>(I30/E30)*1000000000</f>
        <v>37.319436798411814</v>
      </c>
      <c r="S30" t="s">
        <v>310</v>
      </c>
    </row>
    <row r="31" spans="1:23" x14ac:dyDescent="0.3">
      <c r="A31" s="11" t="s">
        <v>287</v>
      </c>
      <c r="B31">
        <v>-7.7441899999999997</v>
      </c>
      <c r="C31">
        <v>1.0017400000000001</v>
      </c>
      <c r="D31" s="30" t="s">
        <v>212</v>
      </c>
      <c r="E31" s="9">
        <v>659100</v>
      </c>
      <c r="F31" s="29">
        <v>2.57</v>
      </c>
      <c r="G31">
        <f t="shared" si="6"/>
        <v>5.8189513116401725</v>
      </c>
      <c r="H31">
        <f t="shared" si="1"/>
        <v>-1.9151137130775728</v>
      </c>
      <c r="I31" s="19">
        <f t="shared" si="4"/>
        <v>1.215867603441145E-2</v>
      </c>
      <c r="J31" s="30">
        <v>0.93500000000000005</v>
      </c>
      <c r="K31" s="30">
        <v>0.92800000000000005</v>
      </c>
      <c r="L31" s="31">
        <v>1.226E-6</v>
      </c>
      <c r="M31">
        <f>(42.63*E31)/1000000000</f>
        <v>2.8097433000000002E-2</v>
      </c>
      <c r="N31">
        <f>(17.9*E31)/1000000000</f>
        <v>1.1797889999999998E-2</v>
      </c>
      <c r="O31">
        <f>(44*E31)/1000000000</f>
        <v>2.9000399999999999E-2</v>
      </c>
      <c r="P31" s="4">
        <f>(30.95*E31)/1000000000</f>
        <v>2.0399145E-2</v>
      </c>
      <c r="Q31">
        <f>(I31/E31)*1000000000</f>
        <v>18.447391950252541</v>
      </c>
      <c r="S31" t="s">
        <v>309</v>
      </c>
    </row>
    <row r="32" spans="1:23" x14ac:dyDescent="0.3">
      <c r="A32" s="11" t="s">
        <v>288</v>
      </c>
      <c r="B32">
        <v>-7.7441899999999997</v>
      </c>
      <c r="C32">
        <v>1.0017400000000001</v>
      </c>
      <c r="D32" s="30" t="s">
        <v>212</v>
      </c>
      <c r="E32" s="9">
        <v>1203800</v>
      </c>
      <c r="F32" s="29">
        <v>4.7</v>
      </c>
      <c r="G32">
        <f t="shared" si="6"/>
        <v>6.0805543389887715</v>
      </c>
      <c r="H32">
        <f t="shared" si="1"/>
        <v>-1.6530554964613868</v>
      </c>
      <c r="I32" s="4">
        <f t="shared" si="4"/>
        <v>2.2230258024266491E-2</v>
      </c>
      <c r="J32" s="30">
        <v>0.93500000000000005</v>
      </c>
      <c r="K32" s="30">
        <v>0.92800000000000005</v>
      </c>
      <c r="L32" s="31">
        <v>1.226E-6</v>
      </c>
      <c r="M32">
        <f>(42.63*E32)/1000000000</f>
        <v>5.1317993999999999E-2</v>
      </c>
      <c r="N32">
        <f>(16*E32)/1000000000</f>
        <v>1.9260800000000002E-2</v>
      </c>
      <c r="O32">
        <f>(16.8*E32)/1000000000</f>
        <v>2.022384E-2</v>
      </c>
      <c r="P32">
        <f>(16.4*E32)/1000000000</f>
        <v>1.9742320000000001E-2</v>
      </c>
      <c r="Q32">
        <f>(I32/E32)*1000000000</f>
        <v>18.466737019659817</v>
      </c>
      <c r="S32" t="s">
        <v>310</v>
      </c>
    </row>
    <row r="33" spans="1:21" x14ac:dyDescent="0.3">
      <c r="A33" s="11"/>
      <c r="D33" s="30"/>
      <c r="E33" s="9"/>
      <c r="F33" s="29"/>
      <c r="I33" s="19"/>
      <c r="J33" s="30"/>
      <c r="K33" s="30"/>
      <c r="L33" s="31"/>
      <c r="S33" s="9"/>
    </row>
    <row r="34" spans="1:21" x14ac:dyDescent="0.3">
      <c r="A34" s="11" t="s">
        <v>185</v>
      </c>
      <c r="D34" s="30" t="s">
        <v>212</v>
      </c>
      <c r="E34" s="9">
        <v>129100</v>
      </c>
      <c r="F34" s="29">
        <v>4.29</v>
      </c>
      <c r="I34" s="19"/>
      <c r="J34" s="30"/>
      <c r="K34" s="30"/>
      <c r="L34" s="31"/>
      <c r="P34" s="4">
        <f>(E34*(35295*0.7))/1000000000</f>
        <v>3.1896091499999999</v>
      </c>
      <c r="S34" t="s">
        <v>319</v>
      </c>
    </row>
    <row r="35" spans="1:21" x14ac:dyDescent="0.3">
      <c r="A35" s="11"/>
      <c r="D35" s="30"/>
      <c r="E35" s="9"/>
      <c r="F35" s="29"/>
      <c r="I35" s="19"/>
      <c r="J35" s="30"/>
      <c r="K35" s="30"/>
      <c r="L35" s="31"/>
      <c r="S35" s="9"/>
    </row>
    <row r="36" spans="1:21" x14ac:dyDescent="0.3">
      <c r="A36" s="11"/>
      <c r="D36" s="30"/>
      <c r="E36" s="9"/>
      <c r="F36" s="29"/>
      <c r="I36" s="19"/>
      <c r="J36" s="30"/>
      <c r="K36" s="30"/>
      <c r="L36" s="31"/>
    </row>
    <row r="37" spans="1:21" x14ac:dyDescent="0.3">
      <c r="A37" s="11" t="s">
        <v>289</v>
      </c>
      <c r="B37">
        <v>-9.2395999999999994</v>
      </c>
      <c r="C37">
        <v>1.3864000000000001</v>
      </c>
      <c r="D37" s="8" t="s">
        <v>211</v>
      </c>
      <c r="E37" s="9">
        <v>93400</v>
      </c>
      <c r="F37" s="29">
        <v>0.27</v>
      </c>
      <c r="G37">
        <f t="shared" ref="G37:G40" si="7">LOG10(E37)</f>
        <v>4.9703468762300931</v>
      </c>
      <c r="H37">
        <f t="shared" si="1"/>
        <v>-2.3487110907945983</v>
      </c>
      <c r="I37" s="4">
        <f>10^H37</f>
        <v>4.4801123918051244E-3</v>
      </c>
      <c r="J37" s="30">
        <v>0.94</v>
      </c>
      <c r="K37" s="30">
        <v>0.93</v>
      </c>
      <c r="L37">
        <v>1.2880000000000001E-3</v>
      </c>
      <c r="M37">
        <f>(313.68*E37)/1000000000</f>
        <v>2.9297712E-2</v>
      </c>
      <c r="N37">
        <f>(177*E37)/1000000000</f>
        <v>1.6531799999999999E-2</v>
      </c>
      <c r="O37">
        <f>(342*E37)/1000000000</f>
        <v>3.19428E-2</v>
      </c>
      <c r="P37">
        <f>(259.5*E37)/1000000000</f>
        <v>2.42373E-2</v>
      </c>
      <c r="Q37">
        <f>(I37/E37)*1000000000</f>
        <v>47.966942096414606</v>
      </c>
      <c r="S37" t="s">
        <v>311</v>
      </c>
    </row>
    <row r="38" spans="1:21" x14ac:dyDescent="0.3">
      <c r="A38" s="11" t="s">
        <v>290</v>
      </c>
      <c r="B38">
        <v>-9.2395999999999994</v>
      </c>
      <c r="C38">
        <v>1.3864000000000001</v>
      </c>
      <c r="D38" s="30" t="s">
        <v>211</v>
      </c>
      <c r="E38" s="9">
        <v>1776900</v>
      </c>
      <c r="F38" s="29">
        <v>5.05</v>
      </c>
      <c r="G38">
        <f t="shared" si="7"/>
        <v>6.2496629873606055</v>
      </c>
      <c r="H38">
        <f t="shared" si="1"/>
        <v>-0.57506723432325479</v>
      </c>
      <c r="I38">
        <f>10^H38</f>
        <v>0.26603131775172106</v>
      </c>
      <c r="J38" s="30">
        <v>0.94</v>
      </c>
      <c r="K38" s="30">
        <v>0.93</v>
      </c>
      <c r="L38">
        <v>1.2880000000000001E-3</v>
      </c>
      <c r="M38">
        <f>(313.68*E38)/1000000000</f>
        <v>0.55737799200000004</v>
      </c>
      <c r="N38" s="19">
        <f>(246*E38)/1000000000</f>
        <v>0.43711739999999999</v>
      </c>
      <c r="O38">
        <f>(436*E38)/1000000000</f>
        <v>0.77472839999999998</v>
      </c>
      <c r="P38" s="4">
        <f>(341*E38)/1000000000</f>
        <v>0.60592290000000004</v>
      </c>
      <c r="Q38">
        <f>(I38/E38)*1000000000</f>
        <v>149.71653877636393</v>
      </c>
      <c r="S38" t="s">
        <v>312</v>
      </c>
    </row>
    <row r="39" spans="1:21" x14ac:dyDescent="0.3">
      <c r="A39" s="11" t="s">
        <v>289</v>
      </c>
      <c r="B39">
        <v>-7.7694000000000001</v>
      </c>
      <c r="C39">
        <v>1.1176999999999999</v>
      </c>
      <c r="D39" s="8" t="s">
        <v>212</v>
      </c>
      <c r="E39" s="9">
        <v>93400</v>
      </c>
      <c r="F39" s="29">
        <v>0.27</v>
      </c>
      <c r="G39">
        <f t="shared" si="7"/>
        <v>4.9703468762300931</v>
      </c>
      <c r="H39">
        <f t="shared" si="1"/>
        <v>-2.2140432964376258</v>
      </c>
      <c r="I39" s="4">
        <f>10^H39</f>
        <v>6.1088112085108713E-3</v>
      </c>
      <c r="J39" s="30">
        <v>0.87</v>
      </c>
      <c r="K39" s="30">
        <v>0.85</v>
      </c>
      <c r="L39" s="31">
        <v>9.2579999999999998E-5</v>
      </c>
      <c r="M39">
        <f>(148*E39)/1000000000</f>
        <v>1.3823200000000001E-2</v>
      </c>
      <c r="N39">
        <f>(51.1*E39)/1000000000</f>
        <v>4.7727400000000001E-3</v>
      </c>
      <c r="O39">
        <f>(59.3*E39)/1000000000</f>
        <v>5.5386200000000002E-3</v>
      </c>
      <c r="P39">
        <f>(55.2*E39)/1000000000</f>
        <v>5.1556800000000002E-3</v>
      </c>
      <c r="Q39">
        <f>(I39/E39)*1000000000</f>
        <v>65.404830926240592</v>
      </c>
      <c r="S39" t="s">
        <v>311</v>
      </c>
    </row>
    <row r="40" spans="1:21" x14ac:dyDescent="0.3">
      <c r="A40" s="11" t="s">
        <v>290</v>
      </c>
      <c r="B40">
        <v>-7.7694000000000001</v>
      </c>
      <c r="C40">
        <v>1.1176999999999999</v>
      </c>
      <c r="D40" s="30" t="s">
        <v>212</v>
      </c>
      <c r="E40" s="9">
        <v>1776900</v>
      </c>
      <c r="F40" s="29">
        <v>5.05</v>
      </c>
      <c r="G40">
        <f t="shared" si="7"/>
        <v>6.2496629873606055</v>
      </c>
      <c r="H40">
        <f t="shared" si="1"/>
        <v>-0.78415167902705196</v>
      </c>
      <c r="I40">
        <f t="shared" si="4"/>
        <v>0.16437975203095839</v>
      </c>
      <c r="J40" s="30">
        <v>0.87</v>
      </c>
      <c r="K40" s="30">
        <v>0.85</v>
      </c>
      <c r="L40" s="31">
        <v>9.2579999999999998E-5</v>
      </c>
      <c r="M40">
        <f>(148*E40)/1000000000</f>
        <v>0.26298120000000003</v>
      </c>
      <c r="N40" s="19">
        <f>(210*E40)/1000000000</f>
        <v>0.37314900000000001</v>
      </c>
      <c r="O40">
        <f>(216*E40)/1000000000</f>
        <v>0.3838104</v>
      </c>
      <c r="P40" s="4">
        <f>(213*E40)/1000000000</f>
        <v>0.37847969999999997</v>
      </c>
      <c r="Q40">
        <f>(I40/E40)*1000000000</f>
        <v>92.509286977859418</v>
      </c>
      <c r="S40" t="s">
        <v>312</v>
      </c>
    </row>
    <row r="41" spans="1:21" x14ac:dyDescent="0.3">
      <c r="A41" s="11"/>
      <c r="D41" s="30"/>
      <c r="E41" s="9"/>
      <c r="F41" s="29"/>
      <c r="J41" s="30"/>
      <c r="K41" s="30"/>
      <c r="L41" s="31"/>
      <c r="Q41" s="29"/>
      <c r="S41" s="29"/>
    </row>
    <row r="42" spans="1:21" x14ac:dyDescent="0.3">
      <c r="A42" s="11" t="s">
        <v>293</v>
      </c>
      <c r="B42">
        <v>-7.2398999999999996</v>
      </c>
      <c r="C42">
        <v>1.0256000000000001</v>
      </c>
      <c r="D42" s="8" t="s">
        <v>211</v>
      </c>
      <c r="E42" s="9">
        <v>184000</v>
      </c>
      <c r="F42" s="29">
        <v>5.9</v>
      </c>
      <c r="G42">
        <f t="shared" ref="G42:G45" si="8">LOG10(E42)</f>
        <v>5.2648178230095368</v>
      </c>
      <c r="H42">
        <f t="shared" si="1"/>
        <v>-1.8403028407214181</v>
      </c>
      <c r="I42">
        <f t="shared" si="4"/>
        <v>1.4444321930407929E-2</v>
      </c>
      <c r="J42" s="30">
        <v>0.93</v>
      </c>
      <c r="K42" s="30">
        <v>0.92</v>
      </c>
      <c r="L42" s="31">
        <v>2.527E-5</v>
      </c>
      <c r="M42">
        <f>(130.78*E42)/1000000000</f>
        <v>2.4063520000000001E-2</v>
      </c>
      <c r="N42">
        <f>(80.8*E42)/1000000000</f>
        <v>1.4867200000000001E-2</v>
      </c>
      <c r="O42">
        <f>(199*E42)/1000000000</f>
        <v>3.6616000000000003E-2</v>
      </c>
      <c r="P42" s="4">
        <f>(139.9*E42)/1000000000</f>
        <v>2.57416E-2</v>
      </c>
      <c r="Q42">
        <f>(I42/E42)*1000000000</f>
        <v>78.501749621782224</v>
      </c>
      <c r="S42" t="s">
        <v>307</v>
      </c>
    </row>
    <row r="43" spans="1:21" x14ac:dyDescent="0.3">
      <c r="A43" s="11" t="s">
        <v>294</v>
      </c>
      <c r="B43">
        <v>-7.2398999999999996</v>
      </c>
      <c r="C43">
        <v>1.0256000000000001</v>
      </c>
      <c r="D43" s="30" t="s">
        <v>211</v>
      </c>
      <c r="E43" s="9">
        <v>307800</v>
      </c>
      <c r="F43" s="29">
        <v>9.94</v>
      </c>
      <c r="G43">
        <f t="shared" si="8"/>
        <v>5.4882686154954596</v>
      </c>
      <c r="H43">
        <f t="shared" si="1"/>
        <v>-1.6111317079478562</v>
      </c>
      <c r="I43" s="19">
        <f t="shared" si="4"/>
        <v>2.4483206300898522E-2</v>
      </c>
      <c r="J43" s="30">
        <v>0.93</v>
      </c>
      <c r="K43" s="30">
        <v>0.92</v>
      </c>
      <c r="L43" s="31">
        <v>2.527E-5</v>
      </c>
      <c r="M43">
        <f>(130.78*E43)/1000000000</f>
        <v>4.0254084000000002E-2</v>
      </c>
      <c r="N43">
        <f>(142*E43)/1000000000</f>
        <v>4.3707599999999999E-2</v>
      </c>
      <c r="O43">
        <f>(143*E43)/1000000000</f>
        <v>4.4015400000000003E-2</v>
      </c>
      <c r="P43" s="37">
        <f>(142.5*E43)/1000000000</f>
        <v>4.3861499999999998E-2</v>
      </c>
      <c r="Q43">
        <f>(I43/E43)*1000000000</f>
        <v>79.54258057471904</v>
      </c>
      <c r="S43" t="s">
        <v>316</v>
      </c>
    </row>
    <row r="44" spans="1:21" x14ac:dyDescent="0.3">
      <c r="A44" s="11" t="s">
        <v>293</v>
      </c>
      <c r="B44">
        <v>-9.6801999999999992</v>
      </c>
      <c r="C44">
        <v>1.4501999999999999</v>
      </c>
      <c r="D44" s="8" t="s">
        <v>212</v>
      </c>
      <c r="E44" s="9">
        <v>184000</v>
      </c>
      <c r="F44" s="29">
        <v>5.9</v>
      </c>
      <c r="G44">
        <f t="shared" si="8"/>
        <v>5.2648178230095368</v>
      </c>
      <c r="H44">
        <f t="shared" si="1"/>
        <v>-2.0451611930715696</v>
      </c>
      <c r="I44" s="19">
        <f t="shared" si="4"/>
        <v>9.0123657186667993E-3</v>
      </c>
      <c r="J44" s="30">
        <v>0.86</v>
      </c>
      <c r="K44" s="30">
        <v>0.84</v>
      </c>
      <c r="L44">
        <v>9.123E-4</v>
      </c>
      <c r="M44">
        <f>(52.9*E44)/1000000000</f>
        <v>9.7336000000000002E-3</v>
      </c>
      <c r="N44">
        <f>(35.9*E44)/1000000000</f>
        <v>6.6055999999999997E-3</v>
      </c>
      <c r="O44">
        <f>(38.6*E44)/1000000000</f>
        <v>7.1024E-3</v>
      </c>
      <c r="P44" s="4">
        <f>(37.25*E44)/1000000000</f>
        <v>6.8539999999999998E-3</v>
      </c>
      <c r="Q44">
        <f>(I44/E44)*1000000000</f>
        <v>48.980248471015216</v>
      </c>
      <c r="S44" t="s">
        <v>307</v>
      </c>
    </row>
    <row r="45" spans="1:21" x14ac:dyDescent="0.3">
      <c r="A45" s="11" t="s">
        <v>294</v>
      </c>
      <c r="B45">
        <v>-9.6801999999999992</v>
      </c>
      <c r="C45">
        <v>1.4501999999999999</v>
      </c>
      <c r="D45" s="30" t="s">
        <v>212</v>
      </c>
      <c r="E45" s="9">
        <v>307800</v>
      </c>
      <c r="F45" s="29">
        <v>9.94</v>
      </c>
      <c r="G45">
        <f t="shared" si="8"/>
        <v>5.4882686154954596</v>
      </c>
      <c r="H45">
        <f t="shared" si="1"/>
        <v>-1.7211128538084841</v>
      </c>
      <c r="I45" s="19">
        <f t="shared" si="4"/>
        <v>1.9005843384613197E-2</v>
      </c>
      <c r="J45" s="30">
        <v>0.86</v>
      </c>
      <c r="K45" s="30">
        <v>0.84</v>
      </c>
      <c r="L45">
        <v>9.123E-4</v>
      </c>
      <c r="M45">
        <f>(52.9*E45)/1000000000</f>
        <v>1.6282620000000001E-2</v>
      </c>
      <c r="N45">
        <f>(57.9*E45)/1000000000</f>
        <v>1.782162E-2</v>
      </c>
      <c r="O45">
        <f>(74.4*E45)/1000000000</f>
        <v>2.2900319999999998E-2</v>
      </c>
      <c r="P45" s="37">
        <f>(66.15*E45)/1000000000</f>
        <v>2.0360969999999999E-2</v>
      </c>
      <c r="Q45">
        <f>(I45/E45)*1000000000</f>
        <v>61.747379417196868</v>
      </c>
      <c r="S45" t="s">
        <v>316</v>
      </c>
    </row>
    <row r="46" spans="1:21" x14ac:dyDescent="0.3">
      <c r="A46" s="11"/>
      <c r="D46" s="30"/>
      <c r="E46" s="9"/>
      <c r="F46" s="29"/>
      <c r="J46" s="30"/>
      <c r="K46" s="30"/>
    </row>
    <row r="47" spans="1:21" x14ac:dyDescent="0.3">
      <c r="A47" s="11"/>
      <c r="D47" s="30"/>
      <c r="E47" s="9"/>
      <c r="F47" s="29"/>
      <c r="J47" s="30"/>
      <c r="K47" s="30"/>
      <c r="O47" s="9"/>
      <c r="P47" s="9"/>
    </row>
    <row r="48" spans="1:21" x14ac:dyDescent="0.3">
      <c r="A48" s="11"/>
      <c r="D48" s="30"/>
      <c r="E48" s="9"/>
      <c r="F48" s="29"/>
      <c r="J48" s="30"/>
      <c r="K48" s="30"/>
      <c r="O48" s="9"/>
      <c r="P48" s="9"/>
      <c r="T48" s="9"/>
      <c r="U48" s="9"/>
    </row>
    <row r="49" spans="1:21" x14ac:dyDescent="0.3">
      <c r="A49" s="11" t="s">
        <v>295</v>
      </c>
      <c r="B49">
        <v>-6.0401999999999996</v>
      </c>
      <c r="C49">
        <v>0.72470000000000001</v>
      </c>
      <c r="D49" s="8" t="s">
        <v>211</v>
      </c>
      <c r="E49" s="9">
        <v>226100</v>
      </c>
      <c r="F49" s="29">
        <v>6.16</v>
      </c>
      <c r="G49">
        <f t="shared" ref="G49:G50" si="9">LOG10(E49)</f>
        <v>5.3543005623453599</v>
      </c>
      <c r="H49">
        <f t="shared" si="1"/>
        <v>-2.1599383824683174</v>
      </c>
      <c r="I49" s="4">
        <f t="shared" si="4"/>
        <v>6.9192913459076725E-3</v>
      </c>
      <c r="J49" s="30">
        <v>0.78</v>
      </c>
      <c r="K49" s="30">
        <v>0.75</v>
      </c>
      <c r="L49">
        <v>1.6280000000000001E-3</v>
      </c>
      <c r="M49">
        <f>(72.25*E49)/1000000000</f>
        <v>1.6335724999999999E-2</v>
      </c>
      <c r="N49">
        <f>(17.6*E49)/1000000000</f>
        <v>3.9793600000000004E-3</v>
      </c>
      <c r="O49">
        <f>(55.2*E49)/1000000000</f>
        <v>1.2480720000000001E-2</v>
      </c>
      <c r="P49">
        <f>(36.4*E49)/1000000000</f>
        <v>8.2300399999999992E-3</v>
      </c>
      <c r="Q49">
        <f>(I49/E49)*1000000000</f>
        <v>30.602792330418719</v>
      </c>
      <c r="S49" t="s">
        <v>317</v>
      </c>
    </row>
    <row r="50" spans="1:21" x14ac:dyDescent="0.3">
      <c r="A50" s="11" t="s">
        <v>296</v>
      </c>
      <c r="B50">
        <v>-6.0401999999999996</v>
      </c>
      <c r="C50">
        <v>0.72470000000000001</v>
      </c>
      <c r="D50" s="30" t="s">
        <v>211</v>
      </c>
      <c r="E50" s="9">
        <v>369200</v>
      </c>
      <c r="F50" s="29">
        <v>10.06</v>
      </c>
      <c r="G50">
        <f t="shared" si="9"/>
        <v>5.567261692353874</v>
      </c>
      <c r="H50">
        <f t="shared" si="1"/>
        <v>-2.0056054515511468</v>
      </c>
      <c r="I50">
        <f t="shared" si="4"/>
        <v>9.8717590930667252E-3</v>
      </c>
      <c r="J50" s="30">
        <v>0.78</v>
      </c>
      <c r="K50" s="30">
        <v>0.75</v>
      </c>
      <c r="L50">
        <v>1.6280000000000001E-3</v>
      </c>
      <c r="M50">
        <f t="shared" ref="M50" si="10">(72.25*E50)/1000000000</f>
        <v>2.6674699999999999E-2</v>
      </c>
      <c r="N50">
        <f>(41.4*E50)/1000000000</f>
        <v>1.5284880000000001E-2</v>
      </c>
      <c r="O50">
        <f>(51.8*E50)/1000000000</f>
        <v>1.9124559999999999E-2</v>
      </c>
      <c r="P50" s="37">
        <f>(46.6*E50)/1000000000</f>
        <v>1.720472E-2</v>
      </c>
      <c r="Q50">
        <f>(I50/E50)*1000000000</f>
        <v>26.738242397255487</v>
      </c>
      <c r="S50" t="s">
        <v>318</v>
      </c>
      <c r="T50" s="9"/>
      <c r="U50" s="9"/>
    </row>
    <row r="51" spans="1:21" x14ac:dyDescent="0.3">
      <c r="A51" s="11" t="s">
        <v>295</v>
      </c>
      <c r="B51">
        <v>-8.7772000000000006</v>
      </c>
      <c r="C51">
        <v>1.23</v>
      </c>
      <c r="D51" s="8" t="s">
        <v>212</v>
      </c>
      <c r="E51" s="9">
        <v>226100</v>
      </c>
      <c r="F51" s="29">
        <v>6.16</v>
      </c>
      <c r="G51">
        <f>LOG10(E51)</f>
        <v>5.3543005623453599</v>
      </c>
      <c r="H51">
        <f>(G51*C51)+B51</f>
        <v>-2.1914103083152083</v>
      </c>
      <c r="I51" s="4">
        <f>10^H51</f>
        <v>6.4356096123950888E-3</v>
      </c>
      <c r="J51" s="30">
        <v>0.86</v>
      </c>
      <c r="K51" s="30">
        <v>0.84</v>
      </c>
      <c r="L51">
        <v>8.832E-4</v>
      </c>
      <c r="M51">
        <f t="shared" ref="M51:M52" si="11">(24.75*E51)/1000000000</f>
        <v>5.5959750000000004E-3</v>
      </c>
      <c r="N51">
        <f>(12.6*E51)/1000000000</f>
        <v>2.8488599999999999E-3</v>
      </c>
      <c r="O51">
        <f>(20.4*E51)/1000000000</f>
        <v>4.6124399999999998E-3</v>
      </c>
      <c r="P51">
        <f>(16.5*E51)/1000000000</f>
        <v>3.7306499999999999E-3</v>
      </c>
      <c r="Q51">
        <f>(I51/E51)*1000000000</f>
        <v>28.463554234387832</v>
      </c>
      <c r="S51" t="s">
        <v>317</v>
      </c>
    </row>
    <row r="52" spans="1:21" x14ac:dyDescent="0.3">
      <c r="A52" s="11" t="s">
        <v>296</v>
      </c>
      <c r="B52">
        <v>-8.7772000000000006</v>
      </c>
      <c r="C52">
        <v>1.23</v>
      </c>
      <c r="D52" s="30" t="s">
        <v>212</v>
      </c>
      <c r="E52" s="9">
        <v>369200</v>
      </c>
      <c r="F52" s="29">
        <v>10.06</v>
      </c>
      <c r="G52">
        <f>LOG10(E52)</f>
        <v>5.567261692353874</v>
      </c>
      <c r="H52">
        <f>(G52*C52)+B52</f>
        <v>-1.9294681184047358</v>
      </c>
      <c r="I52">
        <f>10^H52</f>
        <v>1.1763373365401716E-2</v>
      </c>
      <c r="J52" s="30">
        <v>0.86</v>
      </c>
      <c r="K52" s="30">
        <v>0.84</v>
      </c>
      <c r="L52">
        <v>8.832E-4</v>
      </c>
      <c r="M52">
        <f t="shared" si="11"/>
        <v>9.1377000000000003E-3</v>
      </c>
      <c r="N52">
        <f>(31.3*E52)/1000000000</f>
        <v>1.1555960000000001E-2</v>
      </c>
      <c r="O52">
        <f>(40.9*E52)/1000000000</f>
        <v>1.5100280000000001E-2</v>
      </c>
      <c r="P52" s="37">
        <f>(36.1*E52)/1000000000</f>
        <v>1.3328120000000001E-2</v>
      </c>
      <c r="Q52">
        <f>(I52/E52)*1000000000</f>
        <v>31.861791347241919</v>
      </c>
      <c r="S52" t="s">
        <v>317</v>
      </c>
    </row>
    <row r="53" spans="1:21" x14ac:dyDescent="0.3">
      <c r="A53" s="11"/>
    </row>
    <row r="54" spans="1:21" x14ac:dyDescent="0.3">
      <c r="A54" s="11"/>
    </row>
    <row r="55" spans="1:21" x14ac:dyDescent="0.3">
      <c r="A55" s="11"/>
    </row>
    <row r="56" spans="1:21" x14ac:dyDescent="0.3">
      <c r="A56" s="11"/>
    </row>
    <row r="57" spans="1:21" x14ac:dyDescent="0.3">
      <c r="A57" s="11"/>
    </row>
    <row r="58" spans="1:21" x14ac:dyDescent="0.3">
      <c r="A58" s="11"/>
    </row>
    <row r="59" spans="1:21" x14ac:dyDescent="0.3">
      <c r="A59" s="11"/>
    </row>
    <row r="60" spans="1:21" x14ac:dyDescent="0.3">
      <c r="A60" s="11"/>
    </row>
    <row r="61" spans="1:21" x14ac:dyDescent="0.3">
      <c r="A61" s="11"/>
    </row>
    <row r="62" spans="1:21" x14ac:dyDescent="0.3">
      <c r="A62" s="11"/>
    </row>
    <row r="63" spans="1:21" x14ac:dyDescent="0.3">
      <c r="A63" s="11"/>
    </row>
    <row r="64" spans="1:21" x14ac:dyDescent="0.3">
      <c r="A64" s="11"/>
    </row>
    <row r="65" spans="1:1" x14ac:dyDescent="0.3">
      <c r="A65" s="11"/>
    </row>
    <row r="66" spans="1:1" x14ac:dyDescent="0.3">
      <c r="A66" s="11"/>
    </row>
    <row r="67" spans="1:1" x14ac:dyDescent="0.3">
      <c r="A67" s="11"/>
    </row>
    <row r="68" spans="1:1" x14ac:dyDescent="0.3">
      <c r="A68" s="11"/>
    </row>
    <row r="69" spans="1:1" x14ac:dyDescent="0.3">
      <c r="A69" s="11"/>
    </row>
    <row r="70" spans="1:1" x14ac:dyDescent="0.3">
      <c r="A70" s="11"/>
    </row>
    <row r="71" spans="1:1" x14ac:dyDescent="0.3">
      <c r="A71" s="1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80" zoomScaleNormal="80" workbookViewId="0">
      <selection activeCell="A9" sqref="A9:O10"/>
    </sheetView>
  </sheetViews>
  <sheetFormatPr defaultRowHeight="14.4" x14ac:dyDescent="0.3"/>
  <cols>
    <col min="1" max="1" width="16.21875" bestFit="1" customWidth="1"/>
    <col min="2" max="2" width="20.33203125" bestFit="1" customWidth="1"/>
    <col min="5" max="6" width="14.6640625" bestFit="1" customWidth="1"/>
    <col min="7" max="7" width="14.6640625" customWidth="1"/>
    <col min="11" max="11" width="78" bestFit="1" customWidth="1"/>
  </cols>
  <sheetData>
    <row r="1" spans="1:15" x14ac:dyDescent="0.3">
      <c r="A1" t="s">
        <v>243</v>
      </c>
      <c r="B1" t="s">
        <v>244</v>
      </c>
      <c r="C1" t="s">
        <v>206</v>
      </c>
      <c r="D1" t="s">
        <v>207</v>
      </c>
      <c r="E1" t="s">
        <v>208</v>
      </c>
      <c r="F1" t="s">
        <v>209</v>
      </c>
      <c r="G1" t="s">
        <v>214</v>
      </c>
      <c r="H1" t="s">
        <v>211</v>
      </c>
      <c r="I1" t="s">
        <v>212</v>
      </c>
      <c r="J1" t="s">
        <v>213</v>
      </c>
      <c r="K1" t="s">
        <v>210</v>
      </c>
      <c r="L1" t="s">
        <v>245</v>
      </c>
      <c r="M1" t="s">
        <v>246</v>
      </c>
      <c r="N1" t="s">
        <v>247</v>
      </c>
      <c r="O1" t="s">
        <v>248</v>
      </c>
    </row>
    <row r="2" spans="1:15" x14ac:dyDescent="0.3">
      <c r="A2" t="s">
        <v>39</v>
      </c>
      <c r="B2" t="s">
        <v>225</v>
      </c>
      <c r="C2" t="s">
        <v>38</v>
      </c>
      <c r="D2" s="7">
        <v>43222</v>
      </c>
      <c r="E2" s="8">
        <v>42857.447916666664</v>
      </c>
      <c r="F2" s="8">
        <v>42864.4375</v>
      </c>
      <c r="G2">
        <v>167500</v>
      </c>
      <c r="H2" s="9">
        <v>0.12741949999999999</v>
      </c>
      <c r="I2" s="9">
        <v>2.1797199999999999E-2</v>
      </c>
      <c r="J2" s="9">
        <v>1.365796</v>
      </c>
      <c r="K2" t="s">
        <v>215</v>
      </c>
    </row>
    <row r="3" spans="1:15" x14ac:dyDescent="0.3">
      <c r="A3" t="s">
        <v>42</v>
      </c>
      <c r="B3" t="s">
        <v>42</v>
      </c>
      <c r="C3" t="s">
        <v>38</v>
      </c>
      <c r="D3" s="7">
        <v>43229</v>
      </c>
      <c r="E3" s="8">
        <v>42864.447916666664</v>
      </c>
      <c r="F3" s="12">
        <v>42871.34375</v>
      </c>
      <c r="G3" s="9">
        <v>35200</v>
      </c>
      <c r="H3" s="9">
        <v>3.8368E-3</v>
      </c>
      <c r="I3" s="9">
        <v>1.3235199999999999E-3</v>
      </c>
      <c r="J3" s="9">
        <v>0.29075200000000001</v>
      </c>
    </row>
    <row r="4" spans="1:15" x14ac:dyDescent="0.3">
      <c r="B4" t="s">
        <v>43</v>
      </c>
      <c r="C4" t="s">
        <v>38</v>
      </c>
      <c r="D4" s="7">
        <v>43236</v>
      </c>
      <c r="E4" s="8">
        <v>42871.354166666664</v>
      </c>
      <c r="F4" s="8">
        <v>42878.416666666664</v>
      </c>
      <c r="L4" s="9">
        <v>55000</v>
      </c>
      <c r="M4" s="13">
        <v>-999</v>
      </c>
      <c r="N4" s="13">
        <v>-999</v>
      </c>
      <c r="O4" s="13">
        <v>-999</v>
      </c>
    </row>
    <row r="5" spans="1:15" x14ac:dyDescent="0.3">
      <c r="A5" t="s">
        <v>44</v>
      </c>
      <c r="B5" t="s">
        <v>44</v>
      </c>
      <c r="C5" t="s">
        <v>38</v>
      </c>
      <c r="D5" s="7">
        <v>43243</v>
      </c>
      <c r="E5" s="12">
        <v>42878.427083333336</v>
      </c>
      <c r="F5" s="8">
        <v>42885.4375</v>
      </c>
      <c r="G5">
        <v>32300</v>
      </c>
      <c r="H5" s="9">
        <v>2.5355500000000001E-3</v>
      </c>
      <c r="I5" s="9">
        <v>9.7868999999999994E-4</v>
      </c>
      <c r="J5" s="9">
        <v>0.28520899999999999</v>
      </c>
    </row>
    <row r="6" spans="1:15" x14ac:dyDescent="0.3">
      <c r="A6" t="s">
        <v>45</v>
      </c>
      <c r="B6" t="s">
        <v>45</v>
      </c>
      <c r="C6" t="s">
        <v>38</v>
      </c>
      <c r="D6" s="7">
        <v>43250</v>
      </c>
      <c r="E6" s="8">
        <v>42885.447916666664</v>
      </c>
      <c r="F6" s="8">
        <v>42893.458333333336</v>
      </c>
      <c r="G6">
        <v>32100</v>
      </c>
      <c r="H6">
        <v>2.1603299999999998E-3</v>
      </c>
      <c r="I6">
        <v>9.0521999999999998E-4</v>
      </c>
      <c r="J6">
        <v>0.37813799999999997</v>
      </c>
    </row>
    <row r="7" spans="1:15" x14ac:dyDescent="0.3">
      <c r="A7" t="s">
        <v>46</v>
      </c>
      <c r="B7" t="s">
        <v>46</v>
      </c>
      <c r="C7" t="s">
        <v>38</v>
      </c>
      <c r="D7" s="7">
        <v>43258</v>
      </c>
      <c r="E7" s="8">
        <v>42893.46875</v>
      </c>
      <c r="F7" s="8">
        <v>42899.375</v>
      </c>
      <c r="G7">
        <v>18400</v>
      </c>
      <c r="H7">
        <v>8.832E-4</v>
      </c>
      <c r="I7">
        <v>5.2439999999999995E-4</v>
      </c>
      <c r="J7">
        <v>0.21509600000000001</v>
      </c>
    </row>
    <row r="8" spans="1:15" x14ac:dyDescent="0.3">
      <c r="A8" t="s">
        <v>47</v>
      </c>
      <c r="B8" t="s">
        <v>47</v>
      </c>
      <c r="C8" t="s">
        <v>38</v>
      </c>
      <c r="D8" s="7">
        <v>43264</v>
      </c>
      <c r="E8" s="8">
        <v>42899.385416666664</v>
      </c>
      <c r="F8" s="8">
        <v>42908.385416666664</v>
      </c>
      <c r="G8">
        <v>33000</v>
      </c>
      <c r="H8">
        <v>2.9997000000000001E-3</v>
      </c>
      <c r="I8">
        <v>1.3959E-3</v>
      </c>
      <c r="J8">
        <v>0.42437999999999998</v>
      </c>
    </row>
    <row r="9" spans="1:15" x14ac:dyDescent="0.3">
      <c r="A9" t="s">
        <v>48</v>
      </c>
      <c r="B9" t="s">
        <v>220</v>
      </c>
      <c r="C9" t="s">
        <v>38</v>
      </c>
      <c r="D9" s="7">
        <v>43273</v>
      </c>
      <c r="E9" s="8">
        <v>42908.395833333336</v>
      </c>
      <c r="F9" s="8">
        <v>42912.53125</v>
      </c>
      <c r="K9" t="s">
        <v>270</v>
      </c>
      <c r="L9" s="14">
        <v>156000</v>
      </c>
      <c r="M9" s="14">
        <v>3.1116400000000002E-2</v>
      </c>
      <c r="N9" s="14">
        <v>1.3385640000000001E-2</v>
      </c>
      <c r="O9" s="14">
        <v>4.0980189999999999</v>
      </c>
    </row>
    <row r="10" spans="1:15" x14ac:dyDescent="0.3">
      <c r="A10" t="s">
        <v>52</v>
      </c>
      <c r="B10" t="s">
        <v>221</v>
      </c>
      <c r="C10" t="s">
        <v>38</v>
      </c>
      <c r="D10" s="7">
        <v>43278</v>
      </c>
      <c r="E10" s="12">
        <v>42912.541666666664</v>
      </c>
      <c r="F10" s="8">
        <v>42921.479166666664</v>
      </c>
      <c r="K10" t="s">
        <v>222</v>
      </c>
      <c r="L10" s="14">
        <v>132900</v>
      </c>
      <c r="M10" s="14">
        <v>3.1665899999999997E-2</v>
      </c>
      <c r="N10" s="14">
        <v>1.3221200000000001E-2</v>
      </c>
      <c r="O10" s="14">
        <v>1.2036480000000001</v>
      </c>
    </row>
    <row r="11" spans="1:15" x14ac:dyDescent="0.3">
      <c r="A11" t="s">
        <v>52</v>
      </c>
      <c r="B11" t="s">
        <v>223</v>
      </c>
      <c r="C11" t="s">
        <v>38</v>
      </c>
      <c r="D11" s="7">
        <v>43286</v>
      </c>
      <c r="E11" s="8">
        <v>42921.489583333336</v>
      </c>
      <c r="F11" s="8">
        <v>42927.53125</v>
      </c>
      <c r="G11">
        <v>106900</v>
      </c>
      <c r="H11">
        <v>3.8600099999999998E-2</v>
      </c>
      <c r="I11">
        <v>1.63114E-2</v>
      </c>
      <c r="J11">
        <v>0.85726600000000008</v>
      </c>
      <c r="K11" t="s">
        <v>224</v>
      </c>
    </row>
    <row r="12" spans="1:15" x14ac:dyDescent="0.3">
      <c r="A12" t="s">
        <v>55</v>
      </c>
      <c r="B12" t="s">
        <v>55</v>
      </c>
      <c r="C12" t="s">
        <v>38</v>
      </c>
      <c r="D12" s="7">
        <v>43292</v>
      </c>
      <c r="E12" s="8">
        <v>42927.541666666664</v>
      </c>
      <c r="F12" s="8">
        <v>42934.510416666664</v>
      </c>
      <c r="G12">
        <v>50500</v>
      </c>
      <c r="H12">
        <v>9.4435000000000005E-3</v>
      </c>
      <c r="I12">
        <v>5.9589999999999999E-3</v>
      </c>
      <c r="J12">
        <v>0.36713499999999999</v>
      </c>
    </row>
    <row r="13" spans="1:15" x14ac:dyDescent="0.3">
      <c r="A13" t="s">
        <v>56</v>
      </c>
      <c r="B13" t="s">
        <v>56</v>
      </c>
      <c r="C13" t="s">
        <v>38</v>
      </c>
      <c r="D13" s="7">
        <v>43299</v>
      </c>
      <c r="E13" s="8">
        <v>42934.520833333336</v>
      </c>
      <c r="F13" s="8">
        <v>42942.385416666664</v>
      </c>
      <c r="G13">
        <v>10200</v>
      </c>
      <c r="H13">
        <v>7.4562000000000001E-4</v>
      </c>
      <c r="I13">
        <v>7.1807999999999996E-4</v>
      </c>
      <c r="J13">
        <v>8.1906000000000007E-2</v>
      </c>
    </row>
    <row r="14" spans="1:15" x14ac:dyDescent="0.3">
      <c r="A14" t="s">
        <v>57</v>
      </c>
      <c r="B14" t="s">
        <v>57</v>
      </c>
      <c r="C14" t="s">
        <v>38</v>
      </c>
      <c r="D14" s="7">
        <v>43307</v>
      </c>
      <c r="E14" s="8">
        <v>42942.395833333336</v>
      </c>
      <c r="F14" s="8">
        <v>42948.385416666664</v>
      </c>
      <c r="G14">
        <v>1300</v>
      </c>
      <c r="H14">
        <v>8.3070000000000003E-5</v>
      </c>
      <c r="I14">
        <v>5.1999999999999997E-5</v>
      </c>
      <c r="J14">
        <v>1.0933E-2</v>
      </c>
    </row>
    <row r="16" spans="1:15" x14ac:dyDescent="0.3">
      <c r="G16" s="11"/>
      <c r="H16" s="11"/>
      <c r="I16" s="9"/>
    </row>
    <row r="17" spans="5:9" x14ac:dyDescent="0.3">
      <c r="E17" s="11"/>
      <c r="F17" s="11"/>
      <c r="G17" s="11"/>
      <c r="H17" s="11"/>
      <c r="I17" s="9"/>
    </row>
    <row r="18" spans="5:9" x14ac:dyDescent="0.3">
      <c r="E18" s="11"/>
      <c r="F18" s="11"/>
      <c r="G18" s="11"/>
      <c r="H18" s="11"/>
      <c r="I18" s="9"/>
    </row>
    <row r="19" spans="5:9" x14ac:dyDescent="0.3">
      <c r="E19" s="11"/>
      <c r="F19" s="11"/>
      <c r="G19" s="11"/>
      <c r="H19" s="11"/>
      <c r="I19" s="9"/>
    </row>
    <row r="20" spans="5:9" x14ac:dyDescent="0.3">
      <c r="E20" s="11"/>
      <c r="F20" s="11"/>
      <c r="G20" s="11"/>
      <c r="H20" s="11"/>
      <c r="I20" s="9"/>
    </row>
    <row r="21" spans="5:9" x14ac:dyDescent="0.3">
      <c r="E21" s="11"/>
      <c r="F21" s="11"/>
      <c r="G21" s="11"/>
      <c r="H21" s="11"/>
      <c r="I21" s="9"/>
    </row>
    <row r="22" spans="5:9" x14ac:dyDescent="0.3">
      <c r="E22" s="11"/>
      <c r="F22" s="11"/>
      <c r="G22" s="11"/>
      <c r="H22" s="11"/>
      <c r="I22" s="9"/>
    </row>
    <row r="23" spans="5:9" x14ac:dyDescent="0.3">
      <c r="E23" s="11"/>
      <c r="F23" s="11"/>
      <c r="G23" s="11"/>
      <c r="H23" s="11"/>
      <c r="I23" s="9"/>
    </row>
    <row r="24" spans="5:9" x14ac:dyDescent="0.3">
      <c r="E24" s="11"/>
      <c r="F24" s="11"/>
      <c r="G24" s="11"/>
      <c r="H24" s="11"/>
      <c r="I24" s="9"/>
    </row>
    <row r="25" spans="5:9" x14ac:dyDescent="0.3">
      <c r="E25" s="11"/>
      <c r="F25" s="11"/>
      <c r="G25" s="11"/>
      <c r="H25" s="11"/>
      <c r="I25" s="9"/>
    </row>
    <row r="26" spans="5:9" x14ac:dyDescent="0.3">
      <c r="E26" s="11"/>
      <c r="F26" s="11"/>
      <c r="G26" s="11"/>
      <c r="H26" s="11"/>
      <c r="I26" s="9"/>
    </row>
    <row r="27" spans="5:9" x14ac:dyDescent="0.3">
      <c r="E27" s="11"/>
      <c r="F27" s="11"/>
      <c r="G27" s="11"/>
      <c r="H27" s="11"/>
      <c r="I27" s="9"/>
    </row>
    <row r="28" spans="5:9" x14ac:dyDescent="0.3">
      <c r="E28" s="11"/>
      <c r="F28" s="11"/>
      <c r="G28" s="11"/>
      <c r="H28" s="11"/>
      <c r="I28" s="9"/>
    </row>
    <row r="29" spans="5:9" x14ac:dyDescent="0.3">
      <c r="E29" s="11"/>
      <c r="F29" s="11"/>
      <c r="G29" s="11"/>
      <c r="H29" s="11"/>
      <c r="I29" s="9"/>
    </row>
    <row r="30" spans="5:9" x14ac:dyDescent="0.3">
      <c r="E30" s="11"/>
      <c r="F30" s="11"/>
      <c r="G30" s="11"/>
      <c r="H30" s="11"/>
      <c r="I30" s="9"/>
    </row>
    <row r="31" spans="5:9" x14ac:dyDescent="0.3">
      <c r="E31" s="11"/>
      <c r="F31" s="11"/>
      <c r="G31" s="11"/>
      <c r="H31" s="11"/>
      <c r="I31" s="9"/>
    </row>
    <row r="32" spans="5:9" x14ac:dyDescent="0.3">
      <c r="E32" s="11"/>
      <c r="F32" s="11"/>
      <c r="G32" s="9"/>
    </row>
  </sheetData>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workbookViewId="0">
      <selection activeCell="F19" sqref="F19"/>
    </sheetView>
  </sheetViews>
  <sheetFormatPr defaultRowHeight="14.4" x14ac:dyDescent="0.3"/>
  <cols>
    <col min="2" max="2" width="16.77734375" bestFit="1" customWidth="1"/>
    <col min="3" max="3" width="10.5546875" bestFit="1" customWidth="1"/>
  </cols>
  <sheetData>
    <row r="1" spans="1:8" x14ac:dyDescent="0.3">
      <c r="A1" t="s">
        <v>206</v>
      </c>
      <c r="B1" t="s">
        <v>298</v>
      </c>
      <c r="C1" t="s">
        <v>299</v>
      </c>
    </row>
    <row r="2" spans="1:8" x14ac:dyDescent="0.3">
      <c r="A2" t="s">
        <v>165</v>
      </c>
      <c r="B2">
        <v>72.254000000000005</v>
      </c>
      <c r="C2">
        <v>24.75</v>
      </c>
    </row>
    <row r="3" spans="1:8" x14ac:dyDescent="0.3">
      <c r="A3" t="s">
        <v>143</v>
      </c>
      <c r="B3">
        <v>130.78</v>
      </c>
      <c r="C3">
        <v>52.9</v>
      </c>
    </row>
    <row r="4" spans="1:8" x14ac:dyDescent="0.3">
      <c r="A4" t="s">
        <v>122</v>
      </c>
      <c r="B4" s="10">
        <v>313.68421052631584</v>
      </c>
      <c r="C4" s="10">
        <v>148.05526315789476</v>
      </c>
      <c r="F4" s="1"/>
      <c r="G4" s="1"/>
      <c r="H4" s="1"/>
    </row>
    <row r="5" spans="1:8" x14ac:dyDescent="0.3">
      <c r="A5" t="s">
        <v>99</v>
      </c>
      <c r="B5" s="10">
        <v>71.461111111111109</v>
      </c>
      <c r="C5" s="10">
        <v>42.630555555555553</v>
      </c>
    </row>
    <row r="6" spans="1:8" x14ac:dyDescent="0.3">
      <c r="A6" t="s">
        <v>79</v>
      </c>
      <c r="B6" s="33">
        <v>279.32799999999997</v>
      </c>
      <c r="C6" s="1">
        <v>184.5</v>
      </c>
    </row>
    <row r="7" spans="1:8" x14ac:dyDescent="0.3">
      <c r="A7" t="s">
        <v>59</v>
      </c>
      <c r="B7" s="10">
        <v>177.26111111111109</v>
      </c>
      <c r="C7" s="10">
        <v>118.49999999999997</v>
      </c>
    </row>
    <row r="8" spans="1:8" x14ac:dyDescent="0.3">
      <c r="A8" t="s">
        <v>38</v>
      </c>
      <c r="B8" s="35">
        <v>374.8</v>
      </c>
      <c r="C8" s="35">
        <v>116.1</v>
      </c>
    </row>
    <row r="9" spans="1:8" x14ac:dyDescent="0.3">
      <c r="A9" t="s">
        <v>2</v>
      </c>
      <c r="B9" s="35">
        <v>204</v>
      </c>
      <c r="C9" s="35">
        <v>42.9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zoomScale="50" zoomScaleNormal="50" workbookViewId="0">
      <selection activeCell="R19" sqref="R19"/>
    </sheetView>
  </sheetViews>
  <sheetFormatPr defaultRowHeight="14.4" x14ac:dyDescent="0.3"/>
  <cols>
    <col min="2" max="3" width="17.6640625" bestFit="1" customWidth="1"/>
  </cols>
  <sheetData>
    <row r="1" spans="1:15" x14ac:dyDescent="0.3">
      <c r="A1" t="s">
        <v>200</v>
      </c>
      <c r="B1" s="3" t="s">
        <v>23</v>
      </c>
      <c r="C1" s="3" t="s">
        <v>24</v>
      </c>
      <c r="D1" s="3" t="s">
        <v>25</v>
      </c>
      <c r="E1" s="3" t="s">
        <v>26</v>
      </c>
      <c r="F1" s="3" t="s">
        <v>27</v>
      </c>
      <c r="G1" s="3" t="s">
        <v>28</v>
      </c>
      <c r="H1" s="3" t="s">
        <v>29</v>
      </c>
      <c r="I1" s="3" t="s">
        <v>30</v>
      </c>
      <c r="J1" s="3" t="s">
        <v>31</v>
      </c>
      <c r="K1" s="3" t="s">
        <v>32</v>
      </c>
      <c r="L1" s="3" t="s">
        <v>33</v>
      </c>
      <c r="M1" s="3" t="s">
        <v>34</v>
      </c>
      <c r="N1" s="3" t="s">
        <v>35</v>
      </c>
      <c r="O1" s="3" t="s">
        <v>36</v>
      </c>
    </row>
    <row r="2" spans="1:15" ht="43.2" x14ac:dyDescent="0.3">
      <c r="B2" s="1" t="s">
        <v>58</v>
      </c>
      <c r="C2" s="1" t="s">
        <v>58</v>
      </c>
      <c r="D2" s="2">
        <v>2150922.133564</v>
      </c>
      <c r="E2" s="2">
        <v>226</v>
      </c>
      <c r="F2" s="2">
        <v>108</v>
      </c>
      <c r="G2" s="2">
        <v>20.6</v>
      </c>
      <c r="H2" s="2">
        <v>0.48610840218546297</v>
      </c>
      <c r="I2" s="2">
        <v>0.23229959042491199</v>
      </c>
      <c r="J2" s="2">
        <v>44.308995951418296</v>
      </c>
      <c r="K2" s="1" t="s">
        <v>1</v>
      </c>
      <c r="L2" s="1" t="s">
        <v>1</v>
      </c>
      <c r="M2" s="2">
        <v>2.68879768942096</v>
      </c>
      <c r="N2" s="2">
        <v>5.4194311383093403</v>
      </c>
      <c r="O2" s="1" t="s">
        <v>59</v>
      </c>
    </row>
    <row r="3" spans="1:15" ht="43.2" x14ac:dyDescent="0.3">
      <c r="B3" s="1" t="s">
        <v>60</v>
      </c>
      <c r="C3" s="1" t="s">
        <v>60</v>
      </c>
      <c r="D3" s="2">
        <v>4376876.7416079901</v>
      </c>
      <c r="E3" s="2">
        <v>132</v>
      </c>
      <c r="F3" s="2">
        <v>82.9</v>
      </c>
      <c r="G3" s="2">
        <v>23.56</v>
      </c>
      <c r="H3" s="2">
        <v>0.57774772989225498</v>
      </c>
      <c r="I3" s="2">
        <v>0.36284308187930298</v>
      </c>
      <c r="J3" s="2">
        <v>103.119216032284</v>
      </c>
      <c r="K3" s="1" t="s">
        <v>1</v>
      </c>
      <c r="L3" s="1" t="s">
        <v>1</v>
      </c>
      <c r="M3" s="2">
        <v>5.4713910308858598</v>
      </c>
      <c r="N3" s="2">
        <v>11.0279129736365</v>
      </c>
      <c r="O3" s="1" t="s">
        <v>59</v>
      </c>
    </row>
    <row r="4" spans="1:15" ht="43.2" x14ac:dyDescent="0.3">
      <c r="B4" s="1" t="s">
        <v>61</v>
      </c>
      <c r="C4" s="1" t="s">
        <v>61</v>
      </c>
      <c r="D4" s="2">
        <v>1552270.7864620001</v>
      </c>
      <c r="E4" s="2">
        <v>33.6</v>
      </c>
      <c r="F4" s="2">
        <v>26.6</v>
      </c>
      <c r="G4" s="2">
        <v>21.68</v>
      </c>
      <c r="H4" s="2">
        <v>5.2156298425123197E-2</v>
      </c>
      <c r="I4" s="2">
        <v>4.1290402919889203E-2</v>
      </c>
      <c r="J4" s="2">
        <v>33.653230650496198</v>
      </c>
      <c r="K4" s="1" t="s">
        <v>1</v>
      </c>
      <c r="L4" s="1" t="s">
        <v>1</v>
      </c>
      <c r="M4" s="2">
        <v>1.94044314243908</v>
      </c>
      <c r="N4" s="2">
        <v>3.9110781854762</v>
      </c>
      <c r="O4" s="1" t="s">
        <v>59</v>
      </c>
    </row>
    <row r="5" spans="1:15" ht="43.2" x14ac:dyDescent="0.3">
      <c r="B5" s="1" t="s">
        <v>62</v>
      </c>
      <c r="C5" s="1" t="s">
        <v>62</v>
      </c>
      <c r="D5" s="2">
        <v>730402.55316789902</v>
      </c>
      <c r="E5" s="2">
        <v>60</v>
      </c>
      <c r="F5" s="2">
        <v>38.4</v>
      </c>
      <c r="G5" s="2">
        <v>14.84</v>
      </c>
      <c r="H5" s="2">
        <v>4.3824153190073899E-2</v>
      </c>
      <c r="I5" s="2">
        <v>2.8047458041647301E-2</v>
      </c>
      <c r="J5" s="2">
        <v>10.839173889011599</v>
      </c>
      <c r="K5" s="1" t="s">
        <v>1</v>
      </c>
      <c r="L5" s="1" t="s">
        <v>1</v>
      </c>
      <c r="M5" s="2">
        <v>0.91305243767746302</v>
      </c>
      <c r="N5" s="2">
        <v>1.84031131502649</v>
      </c>
      <c r="O5" s="1" t="s">
        <v>59</v>
      </c>
    </row>
    <row r="6" spans="1:15" ht="43.2" x14ac:dyDescent="0.3">
      <c r="B6" s="1" t="s">
        <v>63</v>
      </c>
      <c r="C6" s="1" t="s">
        <v>63</v>
      </c>
      <c r="D6" s="2">
        <v>716101.52280940802</v>
      </c>
      <c r="E6" s="2">
        <v>38.4</v>
      </c>
      <c r="F6" s="2">
        <v>37</v>
      </c>
      <c r="G6" s="2">
        <v>10.52</v>
      </c>
      <c r="H6" s="2">
        <v>2.7498298475881301E-2</v>
      </c>
      <c r="I6" s="2">
        <v>2.6495756343948101E-2</v>
      </c>
      <c r="J6" s="2">
        <v>7.5333880199549696</v>
      </c>
      <c r="K6" s="1" t="s">
        <v>1</v>
      </c>
      <c r="L6" s="1" t="s">
        <v>1</v>
      </c>
      <c r="M6" s="2">
        <v>0.895175185505375</v>
      </c>
      <c r="N6" s="2">
        <v>1.8042786534878399</v>
      </c>
      <c r="O6" s="1" t="s">
        <v>59</v>
      </c>
    </row>
    <row r="7" spans="1:15" ht="43.2" x14ac:dyDescent="0.3">
      <c r="B7" s="1" t="s">
        <v>64</v>
      </c>
      <c r="C7" s="1" t="s">
        <v>64</v>
      </c>
      <c r="D7" s="2">
        <v>1141676.8340982001</v>
      </c>
      <c r="E7" s="2">
        <v>34.1</v>
      </c>
      <c r="F7" s="2">
        <v>21.4</v>
      </c>
      <c r="G7" s="2">
        <v>8.1</v>
      </c>
      <c r="H7" s="2">
        <v>3.8931180042748599E-2</v>
      </c>
      <c r="I7" s="2">
        <v>2.44318842497015E-2</v>
      </c>
      <c r="J7" s="2">
        <v>9.2475823561954194</v>
      </c>
      <c r="K7" s="1" t="s">
        <v>1</v>
      </c>
      <c r="L7" s="1" t="s">
        <v>1</v>
      </c>
      <c r="M7" s="2">
        <v>1.4271730183473601</v>
      </c>
      <c r="N7" s="2">
        <v>2.8765518230760798</v>
      </c>
      <c r="O7" s="1" t="s">
        <v>59</v>
      </c>
    </row>
    <row r="8" spans="1:15" ht="43.2" x14ac:dyDescent="0.3">
      <c r="B8" s="1" t="s">
        <v>65</v>
      </c>
      <c r="C8" s="1" t="s">
        <v>65</v>
      </c>
      <c r="D8" s="2">
        <v>1239240.8229799999</v>
      </c>
      <c r="E8" s="2">
        <v>67.599999999999994</v>
      </c>
      <c r="F8" s="2">
        <v>49.6</v>
      </c>
      <c r="G8" s="2">
        <v>12.68</v>
      </c>
      <c r="H8" s="2">
        <v>8.3772679633447894E-2</v>
      </c>
      <c r="I8" s="2">
        <v>6.1466344819807901E-2</v>
      </c>
      <c r="J8" s="2">
        <v>15.7135736353864</v>
      </c>
      <c r="K8" s="1" t="s">
        <v>1</v>
      </c>
      <c r="L8" s="1" t="s">
        <v>1</v>
      </c>
      <c r="M8" s="2">
        <v>1.5491345825446701</v>
      </c>
      <c r="N8" s="2">
        <v>3.1223725857494302</v>
      </c>
      <c r="O8" s="1" t="s">
        <v>59</v>
      </c>
    </row>
    <row r="9" spans="1:15" ht="43.2" x14ac:dyDescent="0.3">
      <c r="B9" s="1" t="s">
        <v>66</v>
      </c>
      <c r="C9" s="1" t="s">
        <v>67</v>
      </c>
      <c r="D9" s="2">
        <v>567215.56515779998</v>
      </c>
      <c r="E9" s="2">
        <v>61.2</v>
      </c>
      <c r="F9" s="2">
        <v>40.6</v>
      </c>
      <c r="G9" s="2">
        <v>14.48</v>
      </c>
      <c r="H9" s="2">
        <v>3.4713592587657403E-2</v>
      </c>
      <c r="I9" s="2">
        <v>2.30289519454067E-2</v>
      </c>
      <c r="J9" s="2">
        <v>8.2132813834849401</v>
      </c>
      <c r="K9" s="1" t="s">
        <v>1</v>
      </c>
      <c r="L9" s="1" t="s">
        <v>1</v>
      </c>
      <c r="M9" s="2">
        <v>0.70905770004459301</v>
      </c>
      <c r="N9" s="2">
        <v>1.4291478282649099</v>
      </c>
      <c r="O9" s="1" t="s">
        <v>59</v>
      </c>
    </row>
    <row r="10" spans="1:15" ht="43.2" x14ac:dyDescent="0.3">
      <c r="B10" s="1" t="s">
        <v>67</v>
      </c>
      <c r="C10" s="1" t="s">
        <v>67</v>
      </c>
      <c r="D10" s="2">
        <v>251467.00452399999</v>
      </c>
      <c r="E10" s="2">
        <v>61.2</v>
      </c>
      <c r="F10" s="2">
        <v>40.6</v>
      </c>
      <c r="G10" s="2">
        <v>14.48</v>
      </c>
      <c r="H10" s="2">
        <v>1.5389780676868799E-2</v>
      </c>
      <c r="I10" s="2">
        <v>1.0209560383674401E-2</v>
      </c>
      <c r="J10" s="2">
        <v>3.6412422255075199</v>
      </c>
      <c r="K10" s="1" t="s">
        <v>1</v>
      </c>
      <c r="L10" s="1" t="s">
        <v>1</v>
      </c>
      <c r="M10" s="2">
        <v>0.31435071041339702</v>
      </c>
      <c r="N10" s="2">
        <v>0.63359249194047695</v>
      </c>
      <c r="O10" s="1" t="s">
        <v>59</v>
      </c>
    </row>
    <row r="11" spans="1:15" ht="28.8" x14ac:dyDescent="0.3">
      <c r="B11" s="1" t="s">
        <v>68</v>
      </c>
      <c r="C11" s="1" t="s">
        <v>68</v>
      </c>
      <c r="D11" s="2">
        <v>1205641.7064060001</v>
      </c>
      <c r="E11" s="2">
        <v>345</v>
      </c>
      <c r="F11" s="2">
        <v>285</v>
      </c>
      <c r="G11" s="2">
        <v>34.729999999999997</v>
      </c>
      <c r="H11" s="2">
        <v>0.41594638871007</v>
      </c>
      <c r="I11" s="2">
        <v>0.34360788632570999</v>
      </c>
      <c r="J11" s="2">
        <v>41.871936463480402</v>
      </c>
      <c r="K11" s="1" t="s">
        <v>1</v>
      </c>
      <c r="L11" s="1" t="s">
        <v>1</v>
      </c>
      <c r="M11" s="2">
        <v>1.5071334214607699</v>
      </c>
      <c r="N11" s="2">
        <v>3.03771675570359</v>
      </c>
      <c r="O11" s="1" t="s">
        <v>59</v>
      </c>
    </row>
    <row r="12" spans="1:15" ht="28.8" x14ac:dyDescent="0.3">
      <c r="B12" s="1" t="s">
        <v>69</v>
      </c>
      <c r="C12" s="1" t="s">
        <v>69</v>
      </c>
      <c r="D12" s="2">
        <v>1216393.20224</v>
      </c>
      <c r="E12" s="2">
        <v>408</v>
      </c>
      <c r="F12" s="2">
        <v>357</v>
      </c>
      <c r="G12" s="2">
        <v>27.73</v>
      </c>
      <c r="H12" s="2">
        <v>0.49628842651392002</v>
      </c>
      <c r="I12" s="2">
        <v>0.43425237319968002</v>
      </c>
      <c r="J12" s="2">
        <v>33.730583498115202</v>
      </c>
      <c r="K12" s="1" t="s">
        <v>1</v>
      </c>
      <c r="L12" s="1" t="s">
        <v>1</v>
      </c>
      <c r="M12" s="2">
        <v>1.52057351615558</v>
      </c>
      <c r="N12" s="2">
        <v>3.0648060633065799</v>
      </c>
      <c r="O12" s="1" t="s">
        <v>59</v>
      </c>
    </row>
    <row r="13" spans="1:15" ht="43.2" x14ac:dyDescent="0.3">
      <c r="B13" s="1" t="s">
        <v>70</v>
      </c>
      <c r="C13" s="1" t="s">
        <v>70</v>
      </c>
      <c r="D13" s="2">
        <v>802288.58420100005</v>
      </c>
      <c r="E13" s="2">
        <v>79.7</v>
      </c>
      <c r="F13" s="2">
        <v>57.2</v>
      </c>
      <c r="G13" s="2">
        <v>24.83</v>
      </c>
      <c r="H13" s="2">
        <v>6.3942400160819701E-2</v>
      </c>
      <c r="I13" s="2">
        <v>4.5890907016297201E-2</v>
      </c>
      <c r="J13" s="2">
        <v>19.920825545710802</v>
      </c>
      <c r="K13" s="1" t="s">
        <v>1</v>
      </c>
      <c r="L13" s="1" t="s">
        <v>1</v>
      </c>
      <c r="M13" s="2">
        <v>1.00291482326888</v>
      </c>
      <c r="N13" s="2">
        <v>2.02143428034032</v>
      </c>
      <c r="O13" s="1" t="s">
        <v>59</v>
      </c>
    </row>
    <row r="14" spans="1:15" ht="43.2" x14ac:dyDescent="0.3">
      <c r="B14" s="1" t="s">
        <v>71</v>
      </c>
      <c r="C14" s="1" t="s">
        <v>71</v>
      </c>
      <c r="D14" s="2">
        <v>801986.60231400002</v>
      </c>
      <c r="E14" s="2">
        <v>595</v>
      </c>
      <c r="F14" s="2">
        <v>452</v>
      </c>
      <c r="G14" s="2">
        <v>21.23</v>
      </c>
      <c r="H14" s="2">
        <v>0.47718202837682999</v>
      </c>
      <c r="I14" s="2">
        <v>0.36249794424592802</v>
      </c>
      <c r="J14" s="2">
        <v>17.026175567126199</v>
      </c>
      <c r="K14" s="1" t="s">
        <v>1</v>
      </c>
      <c r="L14" s="1" t="s">
        <v>1</v>
      </c>
      <c r="M14" s="2">
        <v>1.00253732554949</v>
      </c>
      <c r="N14" s="2">
        <v>2.02067341130835</v>
      </c>
      <c r="O14" s="1" t="s">
        <v>59</v>
      </c>
    </row>
    <row r="15" spans="1:15" ht="43.2" x14ac:dyDescent="0.3">
      <c r="B15" s="1" t="s">
        <v>72</v>
      </c>
      <c r="C15" s="1" t="s">
        <v>72</v>
      </c>
      <c r="D15" s="2">
        <v>597887.25164000003</v>
      </c>
      <c r="E15" s="2">
        <v>210</v>
      </c>
      <c r="F15" s="2">
        <v>181</v>
      </c>
      <c r="G15" s="2">
        <v>23.63</v>
      </c>
      <c r="H15" s="2">
        <v>0.12555632284439999</v>
      </c>
      <c r="I15" s="2">
        <v>0.10821759254684001</v>
      </c>
      <c r="J15" s="2">
        <v>14.1280757562532</v>
      </c>
      <c r="K15" s="1" t="s">
        <v>1</v>
      </c>
      <c r="L15" s="1" t="s">
        <v>1</v>
      </c>
      <c r="M15" s="2">
        <v>0.747399376136481</v>
      </c>
      <c r="N15" s="2">
        <v>1.5064277493705001</v>
      </c>
      <c r="O15" s="1" t="s">
        <v>59</v>
      </c>
    </row>
    <row r="16" spans="1:15" ht="43.2" x14ac:dyDescent="0.3">
      <c r="B16" s="1" t="s">
        <v>73</v>
      </c>
      <c r="C16" s="1" t="s">
        <v>73</v>
      </c>
      <c r="D16" s="2">
        <v>2058051.1717399</v>
      </c>
      <c r="E16" s="2">
        <v>134</v>
      </c>
      <c r="F16" s="2">
        <v>100</v>
      </c>
      <c r="G16" s="2">
        <v>24.58</v>
      </c>
      <c r="H16" s="2">
        <v>0.27577885701314703</v>
      </c>
      <c r="I16" s="2">
        <v>0.20580511717399</v>
      </c>
      <c r="J16" s="2">
        <v>50.586897801366703</v>
      </c>
      <c r="K16" s="1" t="s">
        <v>1</v>
      </c>
      <c r="L16" s="1" t="s">
        <v>1</v>
      </c>
      <c r="M16" s="2">
        <v>2.5727027254655899</v>
      </c>
      <c r="N16" s="2">
        <v>5.1854348562029804</v>
      </c>
      <c r="O16" s="1" t="s">
        <v>59</v>
      </c>
    </row>
    <row r="17" spans="1:15" s="4" customFormat="1" ht="28.8" x14ac:dyDescent="0.3">
      <c r="A17" s="4" t="s">
        <v>201</v>
      </c>
      <c r="B17" s="5" t="s">
        <v>74</v>
      </c>
      <c r="C17" s="5" t="s">
        <v>74</v>
      </c>
      <c r="D17" s="6">
        <v>2375830.2936433</v>
      </c>
      <c r="E17" s="6">
        <v>565</v>
      </c>
      <c r="F17" s="6">
        <v>493</v>
      </c>
      <c r="G17" s="6">
        <v>23.7</v>
      </c>
      <c r="H17" s="6">
        <v>1.3423441159084699</v>
      </c>
      <c r="I17" s="6">
        <v>1.1712843347661499</v>
      </c>
      <c r="J17" s="6">
        <v>56.307177959346198</v>
      </c>
      <c r="K17" s="5" t="s">
        <v>1</v>
      </c>
      <c r="L17" s="5" t="s">
        <v>1</v>
      </c>
      <c r="M17" s="6">
        <v>2.9699480535911098</v>
      </c>
      <c r="N17" s="6">
        <v>5.9861063642385997</v>
      </c>
      <c r="O17" s="5" t="s">
        <v>59</v>
      </c>
    </row>
    <row r="18" spans="1:15" ht="43.2" x14ac:dyDescent="0.3">
      <c r="B18" s="1" t="s">
        <v>75</v>
      </c>
      <c r="C18" s="1" t="s">
        <v>75</v>
      </c>
      <c r="D18" s="2">
        <v>2215152.7885822998</v>
      </c>
      <c r="E18" s="2">
        <v>138</v>
      </c>
      <c r="F18" s="2">
        <v>104</v>
      </c>
      <c r="G18" s="2">
        <v>29.55</v>
      </c>
      <c r="H18" s="2">
        <v>0.30569108482435697</v>
      </c>
      <c r="I18" s="2">
        <v>0.23037589001255901</v>
      </c>
      <c r="J18" s="2">
        <v>65.457764902606996</v>
      </c>
      <c r="K18" s="1" t="s">
        <v>1</v>
      </c>
      <c r="L18" s="1" t="s">
        <v>1</v>
      </c>
      <c r="M18" s="2">
        <v>2.7690903388424699</v>
      </c>
      <c r="N18" s="2">
        <v>5.5812657330668003</v>
      </c>
      <c r="O18" s="1" t="s">
        <v>59</v>
      </c>
    </row>
    <row r="19" spans="1:15" ht="57.6" x14ac:dyDescent="0.3">
      <c r="B19" s="1" t="s">
        <v>76</v>
      </c>
      <c r="C19" s="1" t="s">
        <v>76</v>
      </c>
      <c r="D19" s="2">
        <v>908199.85684789903</v>
      </c>
      <c r="E19" s="2">
        <v>85.8</v>
      </c>
      <c r="F19" s="2">
        <v>51.5</v>
      </c>
      <c r="G19" s="2">
        <v>23.8</v>
      </c>
      <c r="H19" s="2">
        <v>7.7923547717549793E-2</v>
      </c>
      <c r="I19" s="2">
        <v>4.6772292627666801E-2</v>
      </c>
      <c r="J19" s="2">
        <v>21.61515659298</v>
      </c>
      <c r="K19" s="1" t="s">
        <v>9</v>
      </c>
      <c r="L19" s="1" t="s">
        <v>21</v>
      </c>
      <c r="M19" s="2">
        <v>1.13531105497475</v>
      </c>
      <c r="N19" s="2">
        <v>2.2882867339572801</v>
      </c>
      <c r="O19" s="1" t="s">
        <v>59</v>
      </c>
    </row>
    <row r="20" spans="1:15" ht="43.2" x14ac:dyDescent="0.3">
      <c r="B20" s="1" t="s">
        <v>77</v>
      </c>
      <c r="C20" s="1" t="s">
        <v>77</v>
      </c>
      <c r="D20" s="2">
        <v>815844.57990600099</v>
      </c>
      <c r="E20" s="2">
        <v>42.8</v>
      </c>
      <c r="F20" s="2">
        <v>37.6</v>
      </c>
      <c r="G20" s="2">
        <v>21.61</v>
      </c>
      <c r="H20" s="2">
        <v>3.4918148019976801E-2</v>
      </c>
      <c r="I20" s="2">
        <v>3.0675756204465599E-2</v>
      </c>
      <c r="J20" s="2">
        <v>17.630401371768698</v>
      </c>
      <c r="K20" s="1" t="s">
        <v>1</v>
      </c>
      <c r="L20" s="1" t="s">
        <v>1</v>
      </c>
      <c r="M20" s="2">
        <v>1.01986073189134</v>
      </c>
      <c r="N20" s="2">
        <v>2.0555897637434999</v>
      </c>
      <c r="O20" s="1" t="s">
        <v>59</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zoomScale="80" zoomScaleNormal="80" workbookViewId="0">
      <selection activeCell="K30" sqref="K30"/>
    </sheetView>
  </sheetViews>
  <sheetFormatPr defaultRowHeight="14.4" x14ac:dyDescent="0.3"/>
  <cols>
    <col min="1" max="1" width="16.21875" bestFit="1" customWidth="1"/>
    <col min="2" max="2" width="20.33203125" bestFit="1" customWidth="1"/>
    <col min="5" max="6" width="14.6640625" bestFit="1" customWidth="1"/>
    <col min="7" max="7" width="14.6640625" customWidth="1"/>
    <col min="8" max="9" width="11.5546875" bestFit="1" customWidth="1"/>
    <col min="11" max="11" width="63.6640625" bestFit="1" customWidth="1"/>
  </cols>
  <sheetData>
    <row r="1" spans="1:15" x14ac:dyDescent="0.3">
      <c r="A1" t="s">
        <v>243</v>
      </c>
      <c r="B1" t="s">
        <v>244</v>
      </c>
      <c r="C1" t="s">
        <v>206</v>
      </c>
      <c r="D1" t="s">
        <v>207</v>
      </c>
      <c r="E1" t="s">
        <v>208</v>
      </c>
      <c r="F1" t="s">
        <v>209</v>
      </c>
      <c r="G1" t="s">
        <v>214</v>
      </c>
      <c r="H1" t="s">
        <v>211</v>
      </c>
      <c r="I1" t="s">
        <v>212</v>
      </c>
      <c r="J1" t="s">
        <v>213</v>
      </c>
      <c r="K1" t="s">
        <v>210</v>
      </c>
      <c r="L1" t="s">
        <v>245</v>
      </c>
      <c r="M1" t="s">
        <v>246</v>
      </c>
      <c r="N1" t="s">
        <v>247</v>
      </c>
      <c r="O1" t="s">
        <v>248</v>
      </c>
    </row>
    <row r="2" spans="1:15" x14ac:dyDescent="0.3">
      <c r="A2" t="s">
        <v>60</v>
      </c>
      <c r="B2" t="s">
        <v>60</v>
      </c>
      <c r="C2" t="s">
        <v>59</v>
      </c>
      <c r="D2" s="7">
        <v>43222</v>
      </c>
      <c r="E2" s="8">
        <v>42857.416666666664</v>
      </c>
      <c r="F2" s="8">
        <v>42864.322916666664</v>
      </c>
      <c r="G2">
        <v>4376876.7416079901</v>
      </c>
      <c r="H2" s="9">
        <v>0.57774772989225498</v>
      </c>
      <c r="I2" s="9">
        <v>0.36284308187930298</v>
      </c>
      <c r="J2" s="9">
        <v>103.119216032284</v>
      </c>
    </row>
    <row r="3" spans="1:15" x14ac:dyDescent="0.3">
      <c r="A3" t="s">
        <v>61</v>
      </c>
      <c r="B3" t="s">
        <v>61</v>
      </c>
      <c r="C3" t="s">
        <v>59</v>
      </c>
      <c r="D3" s="7">
        <v>43229</v>
      </c>
      <c r="E3" s="8">
        <v>42864.333333333336</v>
      </c>
      <c r="F3" s="8">
        <v>42871.5</v>
      </c>
      <c r="G3">
        <v>1552270.7864620001</v>
      </c>
      <c r="H3" s="9">
        <v>5.2156298425123197E-2</v>
      </c>
      <c r="I3" s="9">
        <v>4.1290402919889203E-2</v>
      </c>
      <c r="J3" s="9">
        <v>33.653230650496198</v>
      </c>
    </row>
    <row r="4" spans="1:15" x14ac:dyDescent="0.3">
      <c r="A4" t="s">
        <v>62</v>
      </c>
      <c r="B4" t="s">
        <v>62</v>
      </c>
      <c r="C4" t="s">
        <v>59</v>
      </c>
      <c r="D4" s="7">
        <v>43236</v>
      </c>
      <c r="E4" s="8">
        <v>42871.510416666664</v>
      </c>
      <c r="F4" s="8">
        <v>42878.385416666664</v>
      </c>
      <c r="G4">
        <v>730402.55316789902</v>
      </c>
      <c r="H4" s="9">
        <v>4.3824153190073899E-2</v>
      </c>
      <c r="I4" s="9">
        <v>2.8047458041647301E-2</v>
      </c>
      <c r="J4" s="9">
        <v>10.839173889011599</v>
      </c>
    </row>
    <row r="5" spans="1:15" x14ac:dyDescent="0.3">
      <c r="A5" t="s">
        <v>63</v>
      </c>
      <c r="B5" t="s">
        <v>63</v>
      </c>
      <c r="C5" t="s">
        <v>59</v>
      </c>
      <c r="D5" s="7">
        <v>43243</v>
      </c>
      <c r="E5" s="8">
        <v>42878.395833333336</v>
      </c>
      <c r="F5" s="8">
        <v>42885.416666666664</v>
      </c>
      <c r="G5">
        <v>716101.52280940802</v>
      </c>
      <c r="H5" s="9">
        <v>2.7498298475881301E-2</v>
      </c>
      <c r="I5" s="9">
        <v>2.6495756343948101E-2</v>
      </c>
      <c r="J5" s="9">
        <v>7.5333880199549696</v>
      </c>
    </row>
    <row r="6" spans="1:15" x14ac:dyDescent="0.3">
      <c r="A6" t="s">
        <v>64</v>
      </c>
      <c r="B6" t="s">
        <v>64</v>
      </c>
      <c r="C6" t="s">
        <v>59</v>
      </c>
      <c r="D6" s="7">
        <v>43250</v>
      </c>
      <c r="E6" s="8">
        <v>42885.427083333336</v>
      </c>
      <c r="F6" s="8">
        <v>42892.4375</v>
      </c>
      <c r="G6">
        <v>1141676.8340982001</v>
      </c>
      <c r="H6" s="9">
        <v>3.8931180042748599E-2</v>
      </c>
      <c r="I6" s="9">
        <v>2.44318842497015E-2</v>
      </c>
      <c r="J6" s="9">
        <v>9.2475823561954194</v>
      </c>
      <c r="K6" s="11"/>
    </row>
    <row r="7" spans="1:15" x14ac:dyDescent="0.3">
      <c r="A7" t="s">
        <v>65</v>
      </c>
      <c r="B7" t="s">
        <v>65</v>
      </c>
      <c r="C7" t="s">
        <v>59</v>
      </c>
      <c r="D7" s="7">
        <v>43257</v>
      </c>
      <c r="E7" s="8">
        <v>42892.447916666664</v>
      </c>
      <c r="F7" s="8">
        <v>42899.333333333336</v>
      </c>
      <c r="G7">
        <v>1239240.8229799999</v>
      </c>
      <c r="H7" s="9">
        <v>8.3772679633447894E-2</v>
      </c>
      <c r="I7" s="9">
        <v>6.1466344819807901E-2</v>
      </c>
      <c r="J7" s="9">
        <v>15.7135736353864</v>
      </c>
      <c r="K7" s="11"/>
    </row>
    <row r="8" spans="1:15" x14ac:dyDescent="0.3">
      <c r="A8" t="s">
        <v>67</v>
      </c>
      <c r="B8" t="s">
        <v>66</v>
      </c>
      <c r="C8" t="s">
        <v>59</v>
      </c>
      <c r="D8" s="7">
        <v>43264</v>
      </c>
      <c r="E8" s="12">
        <v>42899.34375</v>
      </c>
      <c r="F8" s="12">
        <v>42908.395833333336</v>
      </c>
      <c r="K8" t="s">
        <v>226</v>
      </c>
      <c r="L8" s="14">
        <v>1422765.1694685998</v>
      </c>
      <c r="M8" s="15">
        <v>8.7073228371478364E-2</v>
      </c>
      <c r="N8" s="15">
        <v>5.7764265880425186E-2</v>
      </c>
      <c r="O8" s="15">
        <v>11.863270725037374</v>
      </c>
    </row>
    <row r="9" spans="1:15" x14ac:dyDescent="0.3">
      <c r="A9" t="s">
        <v>68</v>
      </c>
      <c r="B9" t="s">
        <v>227</v>
      </c>
      <c r="C9" t="s">
        <v>59</v>
      </c>
      <c r="D9" s="7">
        <v>43273</v>
      </c>
      <c r="E9" s="8">
        <v>42908.40625</v>
      </c>
      <c r="F9" s="12">
        <v>42913.479166666664</v>
      </c>
      <c r="K9" t="s">
        <v>228</v>
      </c>
      <c r="L9" s="14">
        <v>4155272.2789719999</v>
      </c>
      <c r="M9" s="15">
        <v>0.91223481522399008</v>
      </c>
      <c r="N9" s="15">
        <v>0.77786025952539006</v>
      </c>
      <c r="O9" s="15">
        <v>75.602519961595604</v>
      </c>
    </row>
    <row r="10" spans="1:15" x14ac:dyDescent="0.3">
      <c r="A10" t="s">
        <v>70</v>
      </c>
      <c r="B10" t="s">
        <v>70</v>
      </c>
      <c r="C10" t="s">
        <v>59</v>
      </c>
      <c r="D10" s="7">
        <v>43278</v>
      </c>
      <c r="E10" s="12">
        <v>42913.489583333336</v>
      </c>
      <c r="F10" s="8">
        <v>42921.541666666664</v>
      </c>
      <c r="G10">
        <v>4260213.6098948997</v>
      </c>
      <c r="H10" s="9">
        <v>0.94245960839519682</v>
      </c>
      <c r="I10" s="9">
        <v>0.72241156098305526</v>
      </c>
      <c r="J10" s="9">
        <v>101.6619746704569</v>
      </c>
      <c r="K10" t="s">
        <v>229</v>
      </c>
    </row>
    <row r="11" spans="1:15" s="19" customFormat="1" x14ac:dyDescent="0.3">
      <c r="A11" s="19" t="s">
        <v>74</v>
      </c>
      <c r="B11" s="19" t="s">
        <v>74</v>
      </c>
      <c r="C11" s="19" t="s">
        <v>59</v>
      </c>
      <c r="D11" s="20">
        <v>43286</v>
      </c>
      <c r="E11" s="12">
        <v>42921.552083333336</v>
      </c>
      <c r="F11" s="12">
        <v>42927.46875</v>
      </c>
      <c r="K11" s="4" t="s">
        <v>201</v>
      </c>
      <c r="L11" s="4">
        <v>2375830.2936433</v>
      </c>
      <c r="M11" s="18">
        <v>1.3423441159084699</v>
      </c>
      <c r="N11" s="18">
        <v>1.1712843347661499</v>
      </c>
      <c r="O11" s="18">
        <v>56.307177959346198</v>
      </c>
    </row>
    <row r="12" spans="1:15" x14ac:dyDescent="0.3">
      <c r="A12" t="s">
        <v>75</v>
      </c>
      <c r="B12" t="s">
        <v>75</v>
      </c>
      <c r="C12" t="s">
        <v>59</v>
      </c>
      <c r="D12" s="7">
        <v>43292</v>
      </c>
      <c r="E12" s="8">
        <v>42927.479166666664</v>
      </c>
      <c r="F12" s="8">
        <v>42934.458333333336</v>
      </c>
      <c r="G12">
        <v>2215152.7885822998</v>
      </c>
      <c r="H12" s="9">
        <v>0.30569108482435697</v>
      </c>
      <c r="I12" s="9">
        <v>0.23037589001255901</v>
      </c>
      <c r="J12" s="9">
        <v>65.457764902606996</v>
      </c>
    </row>
    <row r="13" spans="1:15" x14ac:dyDescent="0.3">
      <c r="A13" t="s">
        <v>76</v>
      </c>
      <c r="B13" t="s">
        <v>76</v>
      </c>
      <c r="C13" t="s">
        <v>59</v>
      </c>
      <c r="D13" s="7">
        <v>43299</v>
      </c>
      <c r="E13" s="8">
        <v>42934.46875</v>
      </c>
      <c r="F13" s="8">
        <v>42942.489583333336</v>
      </c>
      <c r="G13">
        <v>908199.85684789903</v>
      </c>
      <c r="H13" s="9">
        <v>7.7923547717549793E-2</v>
      </c>
      <c r="I13" s="9">
        <v>4.6772292627666801E-2</v>
      </c>
      <c r="J13" s="9">
        <v>21.61515659298</v>
      </c>
    </row>
    <row r="14" spans="1:15" x14ac:dyDescent="0.3">
      <c r="A14" t="s">
        <v>77</v>
      </c>
      <c r="B14" t="s">
        <v>77</v>
      </c>
      <c r="C14" t="s">
        <v>59</v>
      </c>
      <c r="D14" s="7">
        <v>43307</v>
      </c>
      <c r="E14" s="8">
        <v>42942.5</v>
      </c>
      <c r="F14" s="8">
        <v>42948.572916666664</v>
      </c>
      <c r="G14">
        <v>815844.57990600099</v>
      </c>
      <c r="H14" s="9">
        <v>3.4918148019976801E-2</v>
      </c>
      <c r="I14" s="9">
        <v>3.0675756204465599E-2</v>
      </c>
      <c r="J14" s="9">
        <v>17.630401371768698</v>
      </c>
      <c r="N14" s="9"/>
    </row>
    <row r="15" spans="1:15" x14ac:dyDescent="0.3">
      <c r="E15" s="11"/>
      <c r="F15" s="11"/>
      <c r="G15" s="11"/>
      <c r="H15" s="11"/>
      <c r="I15" s="9"/>
    </row>
    <row r="16" spans="1:15" x14ac:dyDescent="0.3">
      <c r="E16" s="11"/>
      <c r="F16" s="11"/>
      <c r="G16" s="11"/>
      <c r="H16" s="11"/>
      <c r="I16" s="9"/>
    </row>
    <row r="17" spans="5:15" x14ac:dyDescent="0.3">
      <c r="E17" s="11"/>
      <c r="F17" s="11"/>
      <c r="G17" s="11"/>
      <c r="H17" s="9"/>
      <c r="I17" s="9"/>
    </row>
    <row r="18" spans="5:15" x14ac:dyDescent="0.3">
      <c r="E18" s="11"/>
      <c r="F18" s="11"/>
      <c r="G18" s="11"/>
      <c r="H18" s="9"/>
      <c r="I18" s="9"/>
    </row>
    <row r="19" spans="5:15" x14ac:dyDescent="0.3">
      <c r="E19" s="11"/>
      <c r="F19" s="11"/>
      <c r="G19" s="11"/>
      <c r="H19" s="9"/>
      <c r="I19" s="9"/>
    </row>
    <row r="20" spans="5:15" x14ac:dyDescent="0.3">
      <c r="E20" s="11"/>
      <c r="F20" s="11"/>
      <c r="G20" s="11"/>
      <c r="H20" s="9"/>
      <c r="I20" s="9"/>
      <c r="M20" s="9"/>
      <c r="O20" s="9"/>
    </row>
    <row r="21" spans="5:15" x14ac:dyDescent="0.3">
      <c r="E21" s="11"/>
      <c r="F21" s="11"/>
      <c r="G21" s="11"/>
      <c r="H21" s="9"/>
      <c r="I21" s="9"/>
      <c r="M21" s="9"/>
    </row>
    <row r="22" spans="5:15" x14ac:dyDescent="0.3">
      <c r="E22" s="11"/>
      <c r="F22" s="11"/>
      <c r="G22" s="11"/>
      <c r="H22" s="9"/>
      <c r="I22" s="9"/>
      <c r="M22" s="9"/>
    </row>
    <row r="23" spans="5:15" x14ac:dyDescent="0.3">
      <c r="E23" s="11"/>
      <c r="F23" s="11"/>
      <c r="G23" s="11"/>
      <c r="H23" s="9"/>
      <c r="I23" s="9"/>
    </row>
    <row r="24" spans="5:15" x14ac:dyDescent="0.3">
      <c r="E24" s="11"/>
      <c r="F24" s="11"/>
      <c r="G24" s="11"/>
      <c r="H24" s="9"/>
      <c r="I24" s="9"/>
    </row>
    <row r="25" spans="5:15" x14ac:dyDescent="0.3">
      <c r="E25" s="11"/>
      <c r="F25" s="11"/>
      <c r="G25" s="11"/>
      <c r="H25" s="9"/>
      <c r="I25" s="9"/>
    </row>
    <row r="26" spans="5:15" x14ac:dyDescent="0.3">
      <c r="E26" s="11"/>
      <c r="F26" s="11"/>
      <c r="G26" s="11"/>
      <c r="H26" s="9"/>
      <c r="I26" s="9"/>
    </row>
    <row r="27" spans="5:15" x14ac:dyDescent="0.3">
      <c r="E27" s="11"/>
      <c r="F27" s="11"/>
      <c r="G27" s="11"/>
      <c r="H27" s="9"/>
      <c r="I27" s="9"/>
    </row>
    <row r="28" spans="5:15" x14ac:dyDescent="0.3">
      <c r="E28" s="11"/>
      <c r="F28" s="11"/>
      <c r="G28" s="11"/>
      <c r="H28" s="9"/>
      <c r="I28" s="9"/>
    </row>
    <row r="29" spans="5:15" x14ac:dyDescent="0.3">
      <c r="E29" s="11"/>
      <c r="F29" s="11"/>
      <c r="G29" s="11"/>
      <c r="H29" s="9"/>
    </row>
    <row r="30" spans="5:15" x14ac:dyDescent="0.3">
      <c r="F30" s="11"/>
      <c r="G30" s="11"/>
      <c r="H30" s="9"/>
    </row>
    <row r="31" spans="5:15" x14ac:dyDescent="0.3">
      <c r="F31" s="11"/>
      <c r="G31" s="11"/>
      <c r="H31" s="9"/>
    </row>
    <row r="32" spans="5:15" x14ac:dyDescent="0.3">
      <c r="F32" s="11"/>
      <c r="G32" s="11"/>
      <c r="H32" s="9"/>
    </row>
    <row r="33" spans="6:8" x14ac:dyDescent="0.3">
      <c r="F33" s="11"/>
      <c r="G33" s="11"/>
      <c r="H33" s="9"/>
    </row>
    <row r="34" spans="6:8" x14ac:dyDescent="0.3">
      <c r="F34" s="11"/>
      <c r="G34" s="11"/>
      <c r="H34" s="9"/>
    </row>
    <row r="35" spans="6:8" x14ac:dyDescent="0.3">
      <c r="F35" s="11"/>
      <c r="G35" s="11"/>
      <c r="H35" s="9"/>
    </row>
    <row r="36" spans="6:8" x14ac:dyDescent="0.3">
      <c r="F36" s="11"/>
      <c r="G36" s="11"/>
      <c r="H36" s="9"/>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zoomScale="50" zoomScaleNormal="50" workbookViewId="0">
      <selection activeCell="A2" sqref="A2"/>
    </sheetView>
  </sheetViews>
  <sheetFormatPr defaultRowHeight="14.4" x14ac:dyDescent="0.3"/>
  <cols>
    <col min="1" max="1" width="36.77734375" bestFit="1" customWidth="1"/>
  </cols>
  <sheetData>
    <row r="1" spans="1:15" x14ac:dyDescent="0.3">
      <c r="A1" t="s">
        <v>33</v>
      </c>
      <c r="B1" s="3" t="s">
        <v>23</v>
      </c>
      <c r="C1" s="3" t="s">
        <v>24</v>
      </c>
      <c r="D1" s="3" t="s">
        <v>25</v>
      </c>
      <c r="E1" s="3" t="s">
        <v>26</v>
      </c>
      <c r="F1" s="3" t="s">
        <v>27</v>
      </c>
      <c r="G1" s="3" t="s">
        <v>28</v>
      </c>
      <c r="H1" s="3" t="s">
        <v>29</v>
      </c>
      <c r="I1" s="3" t="s">
        <v>30</v>
      </c>
      <c r="J1" s="3" t="s">
        <v>31</v>
      </c>
      <c r="K1" s="3" t="s">
        <v>32</v>
      </c>
      <c r="L1" s="3" t="s">
        <v>33</v>
      </c>
      <c r="M1" s="3" t="s">
        <v>34</v>
      </c>
      <c r="N1" s="3" t="s">
        <v>35</v>
      </c>
      <c r="O1" s="3" t="s">
        <v>36</v>
      </c>
    </row>
    <row r="2" spans="1:15" s="4" customFormat="1" ht="43.2" x14ac:dyDescent="0.3">
      <c r="A2" s="4" t="s">
        <v>202</v>
      </c>
      <c r="B2" s="5" t="s">
        <v>78</v>
      </c>
      <c r="C2" s="5" t="s">
        <v>78</v>
      </c>
      <c r="D2" s="6">
        <v>4552961.7378351996</v>
      </c>
      <c r="E2" s="6">
        <v>321</v>
      </c>
      <c r="F2" s="6">
        <v>164</v>
      </c>
      <c r="G2" s="6">
        <v>25.2</v>
      </c>
      <c r="H2" s="6">
        <v>1.4615007178451001</v>
      </c>
      <c r="I2" s="6">
        <v>0.74668572500497299</v>
      </c>
      <c r="J2" s="6">
        <v>114.734635793447</v>
      </c>
      <c r="K2" s="5" t="s">
        <v>1</v>
      </c>
      <c r="L2" s="5" t="s">
        <v>1</v>
      </c>
      <c r="M2" s="6">
        <v>2.58264386933643</v>
      </c>
      <c r="N2" s="6">
        <v>6.3999845835859999</v>
      </c>
      <c r="O2" s="5" t="s">
        <v>79</v>
      </c>
    </row>
    <row r="3" spans="1:15" ht="43.2" x14ac:dyDescent="0.3">
      <c r="B3" s="1" t="s">
        <v>80</v>
      </c>
      <c r="C3" s="1" t="s">
        <v>80</v>
      </c>
      <c r="D3" s="2">
        <v>5348812.2980119903</v>
      </c>
      <c r="E3" s="2">
        <v>150</v>
      </c>
      <c r="F3" s="2">
        <v>100</v>
      </c>
      <c r="G3" s="2">
        <v>28.2</v>
      </c>
      <c r="H3" s="2">
        <v>0.80232184470179901</v>
      </c>
      <c r="I3" s="2">
        <v>0.53488122980119901</v>
      </c>
      <c r="J3" s="2">
        <v>150.83650680393799</v>
      </c>
      <c r="K3" s="1" t="s">
        <v>1</v>
      </c>
      <c r="L3" s="1" t="s">
        <v>1</v>
      </c>
      <c r="M3" s="2">
        <v>3.0340859609903501</v>
      </c>
      <c r="N3" s="2">
        <v>7.5186918359758499</v>
      </c>
      <c r="O3" s="1" t="s">
        <v>79</v>
      </c>
    </row>
    <row r="4" spans="1:15" ht="43.2" x14ac:dyDescent="0.3">
      <c r="B4" s="1" t="s">
        <v>81</v>
      </c>
      <c r="C4" s="1" t="s">
        <v>81</v>
      </c>
      <c r="D4" s="2">
        <v>4346488.3012969997</v>
      </c>
      <c r="E4" s="2">
        <v>135</v>
      </c>
      <c r="F4" s="2">
        <v>98.1</v>
      </c>
      <c r="G4" s="2">
        <v>13.54</v>
      </c>
      <c r="H4" s="2">
        <v>0.58677592067509499</v>
      </c>
      <c r="I4" s="2">
        <v>0.42639050235723602</v>
      </c>
      <c r="J4" s="2">
        <v>58.8514515995614</v>
      </c>
      <c r="K4" s="1" t="s">
        <v>1</v>
      </c>
      <c r="L4" s="1" t="s">
        <v>1</v>
      </c>
      <c r="M4" s="2">
        <v>2.4655228861695999</v>
      </c>
      <c r="N4" s="2">
        <v>6.1097500314738102</v>
      </c>
      <c r="O4" s="1" t="s">
        <v>79</v>
      </c>
    </row>
    <row r="5" spans="1:15" ht="43.2" x14ac:dyDescent="0.3">
      <c r="B5" s="1" t="s">
        <v>82</v>
      </c>
      <c r="C5" s="1" t="s">
        <v>82</v>
      </c>
      <c r="D5" s="2">
        <v>1595472.6060115001</v>
      </c>
      <c r="E5" s="2">
        <v>180</v>
      </c>
      <c r="F5" s="2">
        <v>96.2</v>
      </c>
      <c r="G5" s="2">
        <v>26.04</v>
      </c>
      <c r="H5" s="2">
        <v>0.28718506908206998</v>
      </c>
      <c r="I5" s="2">
        <v>0.15348446469830601</v>
      </c>
      <c r="J5" s="2">
        <v>41.5461066605395</v>
      </c>
      <c r="K5" s="1" t="s">
        <v>1</v>
      </c>
      <c r="L5" s="1" t="s">
        <v>1</v>
      </c>
      <c r="M5" s="2">
        <v>0.90502353893468401</v>
      </c>
      <c r="N5" s="2">
        <v>2.24271598795873</v>
      </c>
      <c r="O5" s="1" t="s">
        <v>79</v>
      </c>
    </row>
    <row r="6" spans="1:15" ht="43.2" x14ac:dyDescent="0.3">
      <c r="B6" s="1" t="s">
        <v>83</v>
      </c>
      <c r="C6" s="1" t="s">
        <v>83</v>
      </c>
      <c r="D6" s="2">
        <v>791831.63662020001</v>
      </c>
      <c r="E6" s="2">
        <v>327</v>
      </c>
      <c r="F6" s="2">
        <v>65.2</v>
      </c>
      <c r="G6" s="2">
        <v>21.04</v>
      </c>
      <c r="H6" s="2">
        <v>0.25892894517480602</v>
      </c>
      <c r="I6" s="2">
        <v>5.1627422707637101E-2</v>
      </c>
      <c r="J6" s="2">
        <v>16.660137634489001</v>
      </c>
      <c r="K6" s="1" t="s">
        <v>1</v>
      </c>
      <c r="L6" s="1" t="s">
        <v>1</v>
      </c>
      <c r="M6" s="2">
        <v>0.44916237816576499</v>
      </c>
      <c r="N6" s="2">
        <v>1.1130579519375701</v>
      </c>
      <c r="O6" s="1" t="s">
        <v>79</v>
      </c>
    </row>
    <row r="7" spans="1:15" ht="43.2" x14ac:dyDescent="0.3">
      <c r="B7" s="1" t="s">
        <v>84</v>
      </c>
      <c r="C7" s="1" t="s">
        <v>84</v>
      </c>
      <c r="D7" s="2">
        <v>830542.19828220201</v>
      </c>
      <c r="E7" s="2">
        <v>67.7</v>
      </c>
      <c r="F7" s="2">
        <v>37.799999999999997</v>
      </c>
      <c r="G7" s="2">
        <v>22.52</v>
      </c>
      <c r="H7" s="2">
        <v>5.6227706823705002E-2</v>
      </c>
      <c r="I7" s="2">
        <v>3.1394495095067199E-2</v>
      </c>
      <c r="J7" s="2">
        <v>18.703810305315201</v>
      </c>
      <c r="K7" s="1" t="s">
        <v>1</v>
      </c>
      <c r="L7" s="1" t="s">
        <v>1</v>
      </c>
      <c r="M7" s="2">
        <v>0.47112074296469098</v>
      </c>
      <c r="N7" s="2">
        <v>1.16747242149042</v>
      </c>
      <c r="O7" s="1" t="s">
        <v>79</v>
      </c>
    </row>
    <row r="8" spans="1:15" ht="43.2" x14ac:dyDescent="0.3">
      <c r="B8" s="1" t="s">
        <v>85</v>
      </c>
      <c r="C8" s="1" t="s">
        <v>85</v>
      </c>
      <c r="D8" s="2">
        <v>660187.15247791004</v>
      </c>
      <c r="E8" s="2">
        <v>138</v>
      </c>
      <c r="F8" s="2">
        <v>88.9</v>
      </c>
      <c r="G8" s="2">
        <v>25.87</v>
      </c>
      <c r="H8" s="2">
        <v>9.1105827041951595E-2</v>
      </c>
      <c r="I8" s="2">
        <v>5.86906378552862E-2</v>
      </c>
      <c r="J8" s="2">
        <v>17.079041634603499</v>
      </c>
      <c r="K8" s="1" t="s">
        <v>1</v>
      </c>
      <c r="L8" s="1" t="s">
        <v>1</v>
      </c>
      <c r="M8" s="2">
        <v>0.374487729117715</v>
      </c>
      <c r="N8" s="2">
        <v>0.92800858900894501</v>
      </c>
      <c r="O8" s="1" t="s">
        <v>79</v>
      </c>
    </row>
    <row r="9" spans="1:15" ht="43.2" x14ac:dyDescent="0.3">
      <c r="B9" s="1" t="s">
        <v>86</v>
      </c>
      <c r="C9" s="1" t="s">
        <v>86</v>
      </c>
      <c r="D9" s="2">
        <v>800847.45020179998</v>
      </c>
      <c r="E9" s="2">
        <v>47.4</v>
      </c>
      <c r="F9" s="2">
        <v>36.4</v>
      </c>
      <c r="G9" s="2">
        <v>25.95</v>
      </c>
      <c r="H9" s="2">
        <v>3.7960169139565299E-2</v>
      </c>
      <c r="I9" s="2">
        <v>2.9150847187345501E-2</v>
      </c>
      <c r="J9" s="2">
        <v>20.781991332736698</v>
      </c>
      <c r="K9" s="1" t="s">
        <v>1</v>
      </c>
      <c r="L9" s="1" t="s">
        <v>1</v>
      </c>
      <c r="M9" s="2">
        <v>0.45427655153561902</v>
      </c>
      <c r="N9" s="2">
        <v>1.1257312558775501</v>
      </c>
      <c r="O9" s="1" t="s">
        <v>79</v>
      </c>
    </row>
    <row r="10" spans="1:15" ht="43.2" x14ac:dyDescent="0.3">
      <c r="B10" s="1" t="s">
        <v>87</v>
      </c>
      <c r="C10" s="1" t="s">
        <v>87</v>
      </c>
      <c r="D10" s="2">
        <v>388917.11477142002</v>
      </c>
      <c r="E10" s="2">
        <v>45.9</v>
      </c>
      <c r="F10" s="2">
        <v>27.3</v>
      </c>
      <c r="G10" s="2">
        <v>23.12</v>
      </c>
      <c r="H10" s="2">
        <v>1.7851295568008199E-2</v>
      </c>
      <c r="I10" s="2">
        <v>1.0617437233259801E-2</v>
      </c>
      <c r="J10" s="2">
        <v>8.9917636935152299</v>
      </c>
      <c r="K10" s="1" t="s">
        <v>1</v>
      </c>
      <c r="L10" s="1" t="s">
        <v>1</v>
      </c>
      <c r="M10" s="2">
        <v>0.220611210895438</v>
      </c>
      <c r="N10" s="2">
        <v>0.54669107322946897</v>
      </c>
      <c r="O10" s="1" t="s">
        <v>79</v>
      </c>
    </row>
    <row r="11" spans="1:15" ht="43.2" x14ac:dyDescent="0.3">
      <c r="B11" s="1" t="s">
        <v>88</v>
      </c>
      <c r="C11" s="1" t="s">
        <v>88</v>
      </c>
      <c r="D11" s="2">
        <v>731175.16060539999</v>
      </c>
      <c r="E11" s="2">
        <v>412</v>
      </c>
      <c r="F11" s="2">
        <v>192</v>
      </c>
      <c r="G11" s="2">
        <v>42.67</v>
      </c>
      <c r="H11" s="2">
        <v>0.30124416616942501</v>
      </c>
      <c r="I11" s="2">
        <v>0.14038563083623701</v>
      </c>
      <c r="J11" s="2">
        <v>31.199244103032399</v>
      </c>
      <c r="K11" s="1" t="s">
        <v>1</v>
      </c>
      <c r="L11" s="1" t="s">
        <v>1</v>
      </c>
      <c r="M11" s="2">
        <v>0.41475530757402801</v>
      </c>
      <c r="N11" s="2">
        <v>1.02779465877975</v>
      </c>
      <c r="O11" s="1" t="s">
        <v>79</v>
      </c>
    </row>
    <row r="12" spans="1:15" ht="43.2" x14ac:dyDescent="0.3">
      <c r="B12" s="1" t="s">
        <v>89</v>
      </c>
      <c r="C12" s="1" t="s">
        <v>89</v>
      </c>
      <c r="D12" s="2">
        <v>683096.29319999996</v>
      </c>
      <c r="E12" s="2">
        <v>210</v>
      </c>
      <c r="F12" s="2">
        <v>157</v>
      </c>
      <c r="G12" s="2">
        <v>48.27</v>
      </c>
      <c r="H12" s="2">
        <v>0.14345022157199999</v>
      </c>
      <c r="I12" s="2">
        <v>0.1072461180324</v>
      </c>
      <c r="J12" s="2">
        <v>32.973058072763997</v>
      </c>
      <c r="K12" s="1" t="s">
        <v>1</v>
      </c>
      <c r="L12" s="1" t="s">
        <v>1</v>
      </c>
      <c r="M12" s="2">
        <v>0.38748282005950802</v>
      </c>
      <c r="N12" s="2">
        <v>0.960211395860182</v>
      </c>
      <c r="O12" s="1" t="s">
        <v>79</v>
      </c>
    </row>
    <row r="13" spans="1:15" ht="43.2" x14ac:dyDescent="0.3">
      <c r="B13" s="1" t="s">
        <v>90</v>
      </c>
      <c r="C13" s="1" t="s">
        <v>90</v>
      </c>
      <c r="D13" s="2">
        <v>614744.69981999998</v>
      </c>
      <c r="E13" s="2">
        <v>416</v>
      </c>
      <c r="F13" s="2">
        <v>222</v>
      </c>
      <c r="G13" s="2">
        <v>46.63</v>
      </c>
      <c r="H13" s="2">
        <v>0.25573379512512001</v>
      </c>
      <c r="I13" s="2">
        <v>0.13647332336004001</v>
      </c>
      <c r="J13" s="2">
        <v>28.6655453526066</v>
      </c>
      <c r="K13" s="1" t="s">
        <v>1</v>
      </c>
      <c r="L13" s="1" t="s">
        <v>1</v>
      </c>
      <c r="M13" s="2">
        <v>0.34871073415874498</v>
      </c>
      <c r="N13" s="2">
        <v>0.86413126844326904</v>
      </c>
      <c r="O13" s="1" t="s">
        <v>79</v>
      </c>
    </row>
    <row r="14" spans="1:15" ht="43.2" x14ac:dyDescent="0.3">
      <c r="B14" s="1" t="s">
        <v>91</v>
      </c>
      <c r="C14" s="1" t="s">
        <v>91</v>
      </c>
      <c r="D14" s="2">
        <v>696659.28833999997</v>
      </c>
      <c r="E14" s="2">
        <v>234</v>
      </c>
      <c r="F14" s="2">
        <v>183</v>
      </c>
      <c r="G14" s="2">
        <v>49.83</v>
      </c>
      <c r="H14" s="2">
        <v>0.16301827347156</v>
      </c>
      <c r="I14" s="2">
        <v>0.12748864976622001</v>
      </c>
      <c r="J14" s="2">
        <v>34.714532337982199</v>
      </c>
      <c r="K14" s="1" t="s">
        <v>1</v>
      </c>
      <c r="L14" s="1" t="s">
        <v>1</v>
      </c>
      <c r="M14" s="2">
        <v>0.39517635852197203</v>
      </c>
      <c r="N14" s="2">
        <v>0.97927655932991198</v>
      </c>
      <c r="O14" s="1" t="s">
        <v>79</v>
      </c>
    </row>
    <row r="15" spans="1:15" ht="57.6" x14ac:dyDescent="0.3">
      <c r="B15" s="1" t="s">
        <v>92</v>
      </c>
      <c r="C15" s="1" t="s">
        <v>92</v>
      </c>
      <c r="D15" s="2">
        <v>4446025.3260920001</v>
      </c>
      <c r="E15" s="2">
        <v>266</v>
      </c>
      <c r="F15" s="2">
        <v>174</v>
      </c>
      <c r="G15" s="2">
        <v>33.83</v>
      </c>
      <c r="H15" s="2">
        <v>1.1826427367404699</v>
      </c>
      <c r="I15" s="2">
        <v>0.77360840674000797</v>
      </c>
      <c r="J15" s="2">
        <v>150.40903678169201</v>
      </c>
      <c r="K15" s="1" t="s">
        <v>1</v>
      </c>
      <c r="L15" s="1" t="s">
        <v>1</v>
      </c>
      <c r="M15" s="2">
        <v>2.5219847458690898</v>
      </c>
      <c r="N15" s="2">
        <v>6.2496667408303299</v>
      </c>
      <c r="O15" s="1" t="s">
        <v>79</v>
      </c>
    </row>
    <row r="16" spans="1:15" ht="43.2" x14ac:dyDescent="0.3">
      <c r="B16" s="1" t="s">
        <v>93</v>
      </c>
      <c r="C16" s="1" t="s">
        <v>93</v>
      </c>
      <c r="D16" s="2">
        <v>5302544.8474909998</v>
      </c>
      <c r="E16" s="2">
        <v>134</v>
      </c>
      <c r="F16" s="2">
        <v>109</v>
      </c>
      <c r="G16" s="2">
        <v>34.82</v>
      </c>
      <c r="H16" s="2">
        <v>0.71054100956379396</v>
      </c>
      <c r="I16" s="2">
        <v>0.57797738837651902</v>
      </c>
      <c r="J16" s="2">
        <v>184.63461158963699</v>
      </c>
      <c r="K16" s="1" t="s">
        <v>1</v>
      </c>
      <c r="L16" s="1" t="s">
        <v>1</v>
      </c>
      <c r="M16" s="2">
        <v>3.0078409902837202</v>
      </c>
      <c r="N16" s="2">
        <v>7.45365483652217</v>
      </c>
      <c r="O16" s="1" t="s">
        <v>79</v>
      </c>
    </row>
    <row r="17" spans="2:15" ht="43.2" x14ac:dyDescent="0.3">
      <c r="B17" s="1" t="s">
        <v>94</v>
      </c>
      <c r="C17" s="1" t="s">
        <v>94</v>
      </c>
      <c r="D17" s="2">
        <v>6061895.4788880004</v>
      </c>
      <c r="E17" s="2">
        <v>228</v>
      </c>
      <c r="F17" s="2">
        <v>137</v>
      </c>
      <c r="G17" s="2">
        <v>26.5</v>
      </c>
      <c r="H17" s="2">
        <v>1.38211216918646</v>
      </c>
      <c r="I17" s="2">
        <v>0.83047968060765598</v>
      </c>
      <c r="J17" s="2">
        <v>160.64023019053201</v>
      </c>
      <c r="K17" s="1" t="s">
        <v>1</v>
      </c>
      <c r="L17" s="1" t="s">
        <v>1</v>
      </c>
      <c r="M17" s="2">
        <v>3.4385786871453399</v>
      </c>
      <c r="N17" s="2">
        <v>8.5210550507809106</v>
      </c>
      <c r="O17" s="1" t="s">
        <v>79</v>
      </c>
    </row>
    <row r="18" spans="2:15" ht="43.2" x14ac:dyDescent="0.3">
      <c r="B18" s="1" t="s">
        <v>95</v>
      </c>
      <c r="C18" s="1" t="s">
        <v>95</v>
      </c>
      <c r="D18" s="2">
        <v>5966569.1597869899</v>
      </c>
      <c r="E18" s="2">
        <v>128</v>
      </c>
      <c r="F18" s="2">
        <v>106</v>
      </c>
      <c r="G18" s="2">
        <v>32.549999999999997</v>
      </c>
      <c r="H18" s="2">
        <v>0.76372085245273502</v>
      </c>
      <c r="I18" s="2">
        <v>0.63245633093742104</v>
      </c>
      <c r="J18" s="2">
        <v>194.21182615106699</v>
      </c>
      <c r="K18" s="1" t="s">
        <v>1</v>
      </c>
      <c r="L18" s="1" t="s">
        <v>1</v>
      </c>
      <c r="M18" s="2">
        <v>3.38450532835413</v>
      </c>
      <c r="N18" s="2">
        <v>8.38705722523658</v>
      </c>
      <c r="O18" s="1" t="s">
        <v>79</v>
      </c>
    </row>
    <row r="19" spans="2:15" ht="57.6" x14ac:dyDescent="0.3">
      <c r="B19" s="1" t="s">
        <v>96</v>
      </c>
      <c r="C19" s="1" t="s">
        <v>96</v>
      </c>
      <c r="D19" s="2">
        <v>1206268.6273904</v>
      </c>
      <c r="E19" s="2">
        <v>90.2</v>
      </c>
      <c r="F19" s="2">
        <v>39.1</v>
      </c>
      <c r="G19" s="2">
        <v>27.4</v>
      </c>
      <c r="H19" s="2">
        <v>0.10880543019061401</v>
      </c>
      <c r="I19" s="2">
        <v>4.7165103330964603E-2</v>
      </c>
      <c r="J19" s="2">
        <v>33.051760390496902</v>
      </c>
      <c r="K19" s="1" t="s">
        <v>9</v>
      </c>
      <c r="L19" s="1" t="s">
        <v>21</v>
      </c>
      <c r="M19" s="2">
        <v>0.68424960601227203</v>
      </c>
      <c r="N19" s="2">
        <v>1.69562167738152</v>
      </c>
      <c r="O19" s="1" t="s">
        <v>79</v>
      </c>
    </row>
    <row r="20" spans="2:15" ht="57.6" x14ac:dyDescent="0.3">
      <c r="B20" s="1" t="s">
        <v>97</v>
      </c>
      <c r="C20" s="1" t="s">
        <v>96</v>
      </c>
      <c r="D20" s="2">
        <v>284804.66858931998</v>
      </c>
      <c r="E20" s="2">
        <v>90.2</v>
      </c>
      <c r="F20" s="2">
        <v>39.1</v>
      </c>
      <c r="G20" s="2">
        <v>27.4</v>
      </c>
      <c r="H20" s="2">
        <v>2.5689381106756701E-2</v>
      </c>
      <c r="I20" s="2">
        <v>1.1135862541842401E-2</v>
      </c>
      <c r="J20" s="2">
        <v>7.8036479193473696</v>
      </c>
      <c r="K20" s="1" t="s">
        <v>9</v>
      </c>
      <c r="L20" s="1" t="s">
        <v>21</v>
      </c>
      <c r="M20" s="2">
        <v>0.16155396720736201</v>
      </c>
      <c r="N20" s="2">
        <v>0.40034280832143099</v>
      </c>
      <c r="O20" s="1" t="s">
        <v>79</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zoomScale="50" zoomScaleNormal="50" workbookViewId="0">
      <selection activeCell="G2" activeCellId="1" sqref="C2:C14 G2:J14"/>
    </sheetView>
  </sheetViews>
  <sheetFormatPr defaultRowHeight="14.4" x14ac:dyDescent="0.3"/>
  <cols>
    <col min="1" max="1" width="16.21875" bestFit="1" customWidth="1"/>
    <col min="2" max="2" width="20.33203125" bestFit="1" customWidth="1"/>
    <col min="3" max="3" width="11.5546875" bestFit="1" customWidth="1"/>
    <col min="5" max="6" width="14.6640625" bestFit="1" customWidth="1"/>
    <col min="7" max="7" width="14.6640625" customWidth="1"/>
    <col min="8" max="9" width="11.6640625" bestFit="1" customWidth="1"/>
    <col min="10" max="10" width="11.5546875" bestFit="1" customWidth="1"/>
    <col min="11" max="11" width="60.109375" bestFit="1" customWidth="1"/>
    <col min="12" max="12" width="15.6640625" bestFit="1" customWidth="1"/>
  </cols>
  <sheetData>
    <row r="1" spans="1:15" x14ac:dyDescent="0.3">
      <c r="A1" t="s">
        <v>243</v>
      </c>
      <c r="B1" t="s">
        <v>244</v>
      </c>
      <c r="C1" t="s">
        <v>206</v>
      </c>
      <c r="D1" t="s">
        <v>207</v>
      </c>
      <c r="E1" t="s">
        <v>208</v>
      </c>
      <c r="F1" t="s">
        <v>209</v>
      </c>
      <c r="G1" t="s">
        <v>214</v>
      </c>
      <c r="H1" t="s">
        <v>211</v>
      </c>
      <c r="I1" t="s">
        <v>212</v>
      </c>
      <c r="J1" t="s">
        <v>213</v>
      </c>
      <c r="K1" t="s">
        <v>210</v>
      </c>
      <c r="L1" t="s">
        <v>245</v>
      </c>
      <c r="M1" t="s">
        <v>246</v>
      </c>
      <c r="N1" t="s">
        <v>247</v>
      </c>
      <c r="O1" t="s">
        <v>248</v>
      </c>
    </row>
    <row r="2" spans="1:15" x14ac:dyDescent="0.3">
      <c r="A2" t="s">
        <v>80</v>
      </c>
      <c r="B2" t="s">
        <v>80</v>
      </c>
      <c r="C2" t="s">
        <v>79</v>
      </c>
      <c r="D2" s="7">
        <v>43222</v>
      </c>
      <c r="E2" s="8">
        <v>42857.4375</v>
      </c>
      <c r="F2" s="8">
        <v>42864.427083333336</v>
      </c>
      <c r="G2">
        <v>9695300.5993089899</v>
      </c>
      <c r="H2" s="9">
        <v>1.3890977653768939</v>
      </c>
      <c r="I2" s="9">
        <v>0.96127173215843498</v>
      </c>
      <c r="J2" s="9">
        <v>209.68795840349941</v>
      </c>
      <c r="K2" t="s">
        <v>224</v>
      </c>
    </row>
    <row r="3" spans="1:15" x14ac:dyDescent="0.3">
      <c r="A3" t="s">
        <v>82</v>
      </c>
      <c r="B3" t="s">
        <v>82</v>
      </c>
      <c r="C3" t="s">
        <v>79</v>
      </c>
      <c r="D3" s="7">
        <v>43229</v>
      </c>
      <c r="E3" s="8">
        <v>42864.4375</v>
      </c>
      <c r="F3" s="8">
        <v>42871.375</v>
      </c>
      <c r="G3">
        <v>1595472.6060115001</v>
      </c>
      <c r="H3" s="9">
        <v>0.28718506908206998</v>
      </c>
      <c r="I3" s="9">
        <v>0.15348446469830601</v>
      </c>
      <c r="J3" s="9">
        <v>41.5461066605395</v>
      </c>
    </row>
    <row r="4" spans="1:15" x14ac:dyDescent="0.3">
      <c r="A4" t="s">
        <v>83</v>
      </c>
      <c r="B4" t="s">
        <v>83</v>
      </c>
      <c r="C4" t="s">
        <v>79</v>
      </c>
      <c r="D4" s="7">
        <v>43236</v>
      </c>
      <c r="E4" s="8">
        <v>42871.385416666664</v>
      </c>
      <c r="F4" s="8">
        <v>42878.395833333336</v>
      </c>
      <c r="G4">
        <v>791831.63662020001</v>
      </c>
      <c r="H4" s="9">
        <v>0.25892894517480602</v>
      </c>
      <c r="I4" s="9">
        <v>5.1627422707637101E-2</v>
      </c>
      <c r="J4" s="9">
        <v>16.660137634489001</v>
      </c>
    </row>
    <row r="5" spans="1:15" x14ac:dyDescent="0.3">
      <c r="A5" t="s">
        <v>84</v>
      </c>
      <c r="B5" t="s">
        <v>84</v>
      </c>
      <c r="C5" t="s">
        <v>79</v>
      </c>
      <c r="D5" s="7">
        <v>43243</v>
      </c>
      <c r="E5" s="8">
        <v>42878.40625</v>
      </c>
      <c r="F5" s="8">
        <v>42885.395833333336</v>
      </c>
      <c r="G5">
        <v>830542.19828220201</v>
      </c>
      <c r="H5" s="9">
        <v>5.6227706823705002E-2</v>
      </c>
      <c r="I5" s="9">
        <v>3.1394495095067199E-2</v>
      </c>
      <c r="J5" s="9">
        <v>18.703810305315201</v>
      </c>
    </row>
    <row r="6" spans="1:15" x14ac:dyDescent="0.3">
      <c r="A6" t="s">
        <v>85</v>
      </c>
      <c r="B6" t="s">
        <v>85</v>
      </c>
      <c r="C6" t="s">
        <v>79</v>
      </c>
      <c r="D6" s="7">
        <v>43250</v>
      </c>
      <c r="E6" s="8">
        <v>42885.40625</v>
      </c>
      <c r="F6" s="8">
        <v>42893.447916666664</v>
      </c>
      <c r="G6">
        <v>660187.15247791004</v>
      </c>
      <c r="H6" s="9">
        <v>9.1105827041951595E-2</v>
      </c>
      <c r="I6" s="9">
        <v>5.86906378552862E-2</v>
      </c>
      <c r="J6" s="9">
        <v>17.079041634603499</v>
      </c>
    </row>
    <row r="7" spans="1:15" x14ac:dyDescent="0.3">
      <c r="A7" t="s">
        <v>86</v>
      </c>
      <c r="B7" t="s">
        <v>86</v>
      </c>
      <c r="C7" t="s">
        <v>79</v>
      </c>
      <c r="D7" s="7">
        <v>43258</v>
      </c>
      <c r="E7" s="8">
        <v>42893.458333333336</v>
      </c>
      <c r="F7" s="8">
        <v>42899.34375</v>
      </c>
      <c r="G7">
        <v>800847.45020179998</v>
      </c>
      <c r="H7" s="9">
        <v>3.7960169139565299E-2</v>
      </c>
      <c r="I7" s="9">
        <v>2.9150847187345501E-2</v>
      </c>
      <c r="J7" s="9">
        <v>20.781991332736698</v>
      </c>
    </row>
    <row r="8" spans="1:15" x14ac:dyDescent="0.3">
      <c r="A8" t="s">
        <v>87</v>
      </c>
      <c r="B8" t="s">
        <v>87</v>
      </c>
      <c r="C8" t="s">
        <v>79</v>
      </c>
      <c r="D8" s="7">
        <v>43264</v>
      </c>
      <c r="E8" s="8">
        <v>42899.354166666664</v>
      </c>
      <c r="F8" s="8">
        <v>42908.375</v>
      </c>
      <c r="G8">
        <v>388917.11477142002</v>
      </c>
      <c r="H8" s="9">
        <v>1.7851295568008199E-2</v>
      </c>
      <c r="I8" s="9">
        <v>1.0617437233259801E-2</v>
      </c>
      <c r="J8" s="9">
        <v>8.9917636935152299</v>
      </c>
    </row>
    <row r="9" spans="1:15" x14ac:dyDescent="0.3">
      <c r="A9" t="s">
        <v>88</v>
      </c>
      <c r="B9" t="s">
        <v>230</v>
      </c>
      <c r="C9" t="s">
        <v>79</v>
      </c>
      <c r="D9" s="7">
        <v>43273</v>
      </c>
      <c r="E9" s="8">
        <v>42908.385416666664</v>
      </c>
      <c r="F9" s="12">
        <v>42913.510416666664</v>
      </c>
      <c r="K9" t="s">
        <v>231</v>
      </c>
      <c r="L9" s="22">
        <v>11931413.230230391</v>
      </c>
      <c r="M9" s="15">
        <v>0.86344645633810502</v>
      </c>
      <c r="N9" s="15">
        <v>0.51159372199489705</v>
      </c>
      <c r="O9" s="15">
        <v>127.55237986638519</v>
      </c>
    </row>
    <row r="10" spans="1:15" s="19" customFormat="1" x14ac:dyDescent="0.3">
      <c r="A10" s="19" t="s">
        <v>92</v>
      </c>
      <c r="B10" s="19" t="s">
        <v>92</v>
      </c>
      <c r="C10" s="19" t="s">
        <v>79</v>
      </c>
      <c r="D10" s="20">
        <v>43278</v>
      </c>
      <c r="E10" s="12">
        <v>42913.520833333336</v>
      </c>
      <c r="F10" s="12">
        <v>42921.53125</v>
      </c>
      <c r="K10" s="19" t="s">
        <v>232</v>
      </c>
      <c r="L10" s="26">
        <v>11198074.329792999</v>
      </c>
      <c r="M10" s="21">
        <v>2.1830845775462637</v>
      </c>
      <c r="N10" s="21">
        <v>1.5566906332202421</v>
      </c>
      <c r="O10" s="21">
        <v>384.79787853323728</v>
      </c>
    </row>
    <row r="11" spans="1:15" x14ac:dyDescent="0.3">
      <c r="A11" t="s">
        <v>94</v>
      </c>
      <c r="B11" t="s">
        <v>94</v>
      </c>
      <c r="C11" t="s">
        <v>79</v>
      </c>
      <c r="D11" s="7">
        <v>43286</v>
      </c>
      <c r="E11" s="8">
        <v>42921.541666666664</v>
      </c>
      <c r="F11" s="8">
        <v>42927.5</v>
      </c>
      <c r="G11">
        <v>6061895.4788880004</v>
      </c>
      <c r="H11" s="9">
        <v>1.38211216918646</v>
      </c>
      <c r="I11" s="9">
        <v>0.83047968060765598</v>
      </c>
      <c r="J11" s="9">
        <v>160.64023019053201</v>
      </c>
    </row>
    <row r="12" spans="1:15" x14ac:dyDescent="0.3">
      <c r="A12" t="s">
        <v>95</v>
      </c>
      <c r="B12" t="s">
        <v>95</v>
      </c>
      <c r="C12" t="s">
        <v>79</v>
      </c>
      <c r="D12" s="7">
        <v>43292</v>
      </c>
      <c r="E12" s="8">
        <v>42927.510416666664</v>
      </c>
      <c r="F12" s="8">
        <v>42934.458333333336</v>
      </c>
      <c r="G12">
        <v>5966569.1597869899</v>
      </c>
      <c r="H12" s="9">
        <v>0.76372085245273502</v>
      </c>
      <c r="I12" s="9">
        <v>0.63245633093742104</v>
      </c>
      <c r="J12" s="9">
        <v>194.21182615106699</v>
      </c>
    </row>
    <row r="13" spans="1:15" x14ac:dyDescent="0.3">
      <c r="A13" t="s">
        <v>96</v>
      </c>
      <c r="B13" t="s">
        <v>96</v>
      </c>
      <c r="C13" t="s">
        <v>79</v>
      </c>
      <c r="D13" s="7">
        <v>43299</v>
      </c>
      <c r="E13" s="8">
        <v>42934.46875</v>
      </c>
      <c r="F13" s="8">
        <v>42942.333333333336</v>
      </c>
      <c r="G13">
        <v>1206268.6273904</v>
      </c>
      <c r="H13" s="9">
        <v>0.10880543019061401</v>
      </c>
      <c r="I13" s="9">
        <v>4.7165103330964603E-2</v>
      </c>
      <c r="J13" s="9">
        <v>33.051760390496902</v>
      </c>
    </row>
    <row r="14" spans="1:15" s="19" customFormat="1" x14ac:dyDescent="0.3">
      <c r="A14" s="19" t="s">
        <v>96</v>
      </c>
      <c r="B14" s="19" t="s">
        <v>97</v>
      </c>
      <c r="C14" s="19" t="s">
        <v>79</v>
      </c>
      <c r="D14" s="20">
        <v>43307</v>
      </c>
      <c r="E14" s="12">
        <v>42942.34375</v>
      </c>
      <c r="F14" s="12">
        <v>42946.96875</v>
      </c>
      <c r="K14" s="19" t="s">
        <v>249</v>
      </c>
      <c r="L14" s="26">
        <v>284804.66858931998</v>
      </c>
      <c r="M14" s="21">
        <v>2.5689381106756701E-2</v>
      </c>
      <c r="N14" s="21">
        <v>1.1135862541842401E-2</v>
      </c>
      <c r="O14" s="21">
        <v>7.8036479193473696</v>
      </c>
    </row>
    <row r="15" spans="1:15" x14ac:dyDescent="0.3">
      <c r="E15" s="11"/>
      <c r="F15" s="11"/>
      <c r="G15" s="11"/>
      <c r="H15" s="9"/>
      <c r="I15" s="9"/>
    </row>
    <row r="16" spans="1:15" x14ac:dyDescent="0.3">
      <c r="E16" s="11"/>
      <c r="F16" s="11"/>
      <c r="G16" s="11"/>
      <c r="H16" s="9"/>
      <c r="I16" s="9"/>
    </row>
    <row r="17" spans="1:14" x14ac:dyDescent="0.3">
      <c r="A17" s="11"/>
      <c r="B17" s="11"/>
      <c r="C17" s="9"/>
      <c r="E17" s="11"/>
      <c r="F17" s="11"/>
      <c r="G17" s="11"/>
      <c r="H17" s="9"/>
      <c r="I17" s="9"/>
    </row>
    <row r="18" spans="1:14" x14ac:dyDescent="0.3">
      <c r="A18" s="11"/>
      <c r="B18" s="11"/>
      <c r="C18" s="9"/>
      <c r="E18" s="11"/>
      <c r="F18" s="11"/>
      <c r="G18" s="11"/>
      <c r="H18" s="9"/>
      <c r="I18" s="9"/>
    </row>
    <row r="19" spans="1:14" x14ac:dyDescent="0.3">
      <c r="A19" s="11"/>
      <c r="B19" s="11"/>
      <c r="C19" s="9"/>
      <c r="E19" s="11"/>
      <c r="F19" s="11"/>
      <c r="G19" s="11"/>
      <c r="H19" s="9"/>
      <c r="I19" s="9"/>
      <c r="L19">
        <f>M19-M10</f>
        <v>0.19689806849981428</v>
      </c>
      <c r="M19">
        <f>((0.0000002)*L9)-0.0063</f>
        <v>2.379982646046078</v>
      </c>
      <c r="N19">
        <f>((0.0000002)*M20)-0.0063</f>
        <v>0.28360079999999999</v>
      </c>
    </row>
    <row r="20" spans="1:14" x14ac:dyDescent="0.3">
      <c r="A20" s="11"/>
      <c r="B20" s="11"/>
      <c r="C20" s="9"/>
      <c r="E20" s="11"/>
      <c r="F20" s="11"/>
      <c r="G20" s="11"/>
      <c r="H20" s="9"/>
      <c r="I20" s="9"/>
      <c r="M20">
        <v>1449504</v>
      </c>
    </row>
    <row r="21" spans="1:14" x14ac:dyDescent="0.3">
      <c r="A21" s="11"/>
      <c r="B21" s="11"/>
      <c r="C21" s="9"/>
      <c r="E21" s="11"/>
      <c r="F21" s="11"/>
      <c r="G21" s="11"/>
      <c r="H21" s="9"/>
      <c r="I21" s="9"/>
    </row>
    <row r="22" spans="1:14" x14ac:dyDescent="0.3">
      <c r="A22" s="11"/>
      <c r="B22" s="11"/>
      <c r="C22" s="9"/>
      <c r="E22" s="11"/>
      <c r="F22" s="11"/>
      <c r="G22" s="11"/>
      <c r="H22" s="9"/>
      <c r="I22" s="9"/>
    </row>
    <row r="23" spans="1:14" x14ac:dyDescent="0.3">
      <c r="A23" s="11"/>
      <c r="B23" s="11"/>
      <c r="C23" s="9"/>
      <c r="E23" s="11"/>
      <c r="F23" s="11"/>
      <c r="G23" s="11"/>
      <c r="H23" s="9"/>
      <c r="I23" s="9"/>
    </row>
    <row r="24" spans="1:14" x14ac:dyDescent="0.3">
      <c r="A24" s="11"/>
      <c r="B24" s="11"/>
      <c r="C24" s="9"/>
      <c r="E24" s="11"/>
      <c r="F24" s="11"/>
      <c r="G24" s="11"/>
      <c r="H24" s="9"/>
      <c r="I24" s="9"/>
    </row>
    <row r="25" spans="1:14" x14ac:dyDescent="0.3">
      <c r="A25" s="11"/>
      <c r="B25" s="11"/>
      <c r="C25" s="9"/>
      <c r="E25" s="11"/>
      <c r="F25" s="11"/>
      <c r="G25" s="11"/>
      <c r="H25" s="9"/>
      <c r="I25" s="9"/>
    </row>
    <row r="26" spans="1:14" x14ac:dyDescent="0.3">
      <c r="A26" s="11"/>
      <c r="B26" s="11"/>
      <c r="C26" s="9"/>
      <c r="E26" s="11"/>
      <c r="F26" s="11"/>
      <c r="G26" s="11"/>
      <c r="H26" s="9"/>
      <c r="I26" s="9"/>
    </row>
    <row r="27" spans="1:14" x14ac:dyDescent="0.3">
      <c r="A27" s="11"/>
      <c r="B27" s="11"/>
      <c r="C27" s="9"/>
      <c r="E27" s="11"/>
      <c r="F27" s="11"/>
      <c r="G27" s="11"/>
      <c r="H27" s="9"/>
    </row>
    <row r="28" spans="1:14" x14ac:dyDescent="0.3">
      <c r="A28" s="11"/>
      <c r="B28" s="11"/>
      <c r="C28" s="9"/>
      <c r="F28" s="11"/>
      <c r="G28" s="11"/>
      <c r="H28" s="9"/>
    </row>
    <row r="29" spans="1:14" x14ac:dyDescent="0.3">
      <c r="A29" s="11"/>
      <c r="B29" s="11"/>
      <c r="C29" s="9"/>
      <c r="F29" s="11"/>
      <c r="G29" s="11"/>
      <c r="H29" s="9"/>
    </row>
    <row r="30" spans="1:14" x14ac:dyDescent="0.3">
      <c r="A30" s="11"/>
      <c r="B30" s="11"/>
      <c r="C30" s="9"/>
      <c r="F30" s="11"/>
      <c r="G30" s="11"/>
      <c r="H30" s="9"/>
    </row>
    <row r="31" spans="1:14" x14ac:dyDescent="0.3">
      <c r="A31" s="11"/>
      <c r="B31" s="11"/>
      <c r="C31" s="9"/>
      <c r="F31" s="11"/>
      <c r="G31" s="11"/>
      <c r="H31" s="9"/>
    </row>
    <row r="32" spans="1:14" x14ac:dyDescent="0.3">
      <c r="A32" s="11"/>
      <c r="B32" s="11"/>
      <c r="C32" s="9"/>
      <c r="F32" s="11"/>
      <c r="G32" s="11"/>
      <c r="H32" s="9"/>
    </row>
    <row r="33" spans="1:8" x14ac:dyDescent="0.3">
      <c r="A33" s="11"/>
      <c r="B33" s="11"/>
      <c r="C33" s="9"/>
      <c r="F33" s="11"/>
      <c r="G33" s="11"/>
      <c r="H33" s="9"/>
    </row>
    <row r="34" spans="1:8" x14ac:dyDescent="0.3">
      <c r="A34" s="11"/>
      <c r="B34" s="11"/>
      <c r="C34" s="9"/>
      <c r="F34" s="11"/>
      <c r="G34" s="11"/>
      <c r="H34" s="9"/>
    </row>
    <row r="35" spans="1:8" x14ac:dyDescent="0.3">
      <c r="A35" s="11"/>
      <c r="B35" s="11"/>
      <c r="C35" s="9"/>
    </row>
    <row r="36" spans="1:8" x14ac:dyDescent="0.3">
      <c r="A36" s="11"/>
      <c r="B36" s="11"/>
      <c r="C36" s="9"/>
    </row>
    <row r="37" spans="1:8" x14ac:dyDescent="0.3">
      <c r="A37" s="11"/>
      <c r="B37" s="11"/>
      <c r="C37" s="9"/>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zoomScale="80" zoomScaleNormal="80" workbookViewId="0">
      <selection activeCell="K29" sqref="K29"/>
    </sheetView>
  </sheetViews>
  <sheetFormatPr defaultRowHeight="14.4" x14ac:dyDescent="0.3"/>
  <sheetData>
    <row r="1" spans="1:14" x14ac:dyDescent="0.3">
      <c r="A1" s="3" t="s">
        <v>23</v>
      </c>
      <c r="B1" s="3" t="s">
        <v>24</v>
      </c>
      <c r="C1" s="3" t="s">
        <v>25</v>
      </c>
      <c r="D1" s="3" t="s">
        <v>26</v>
      </c>
      <c r="E1" s="3" t="s">
        <v>27</v>
      </c>
      <c r="F1" s="3" t="s">
        <v>28</v>
      </c>
      <c r="G1" s="3" t="s">
        <v>29</v>
      </c>
      <c r="H1" s="3" t="s">
        <v>30</v>
      </c>
      <c r="I1" s="3" t="s">
        <v>31</v>
      </c>
      <c r="J1" s="3" t="s">
        <v>32</v>
      </c>
      <c r="K1" s="3" t="s">
        <v>33</v>
      </c>
      <c r="L1" s="3" t="s">
        <v>34</v>
      </c>
      <c r="M1" s="3" t="s">
        <v>35</v>
      </c>
      <c r="N1" s="3" t="s">
        <v>36</v>
      </c>
    </row>
    <row r="2" spans="1:14" ht="43.2" x14ac:dyDescent="0.3">
      <c r="A2" s="1" t="s">
        <v>98</v>
      </c>
      <c r="B2" s="1" t="s">
        <v>98</v>
      </c>
      <c r="C2" s="2">
        <v>1554800</v>
      </c>
      <c r="D2" s="2">
        <v>46.5</v>
      </c>
      <c r="E2" s="2">
        <v>16.100000000000001</v>
      </c>
      <c r="F2" s="2">
        <v>2.04</v>
      </c>
      <c r="G2" s="2">
        <v>7.2298200000000007E-2</v>
      </c>
      <c r="H2" s="2">
        <v>2.5032280000000001E-2</v>
      </c>
      <c r="I2" s="2">
        <v>3.1717919999999999</v>
      </c>
      <c r="J2" s="1" t="s">
        <v>1</v>
      </c>
      <c r="K2" s="1" t="s">
        <v>1</v>
      </c>
      <c r="L2" s="2">
        <v>2.19700086046947</v>
      </c>
      <c r="M2" s="2">
        <v>6.0724412401090397</v>
      </c>
      <c r="N2" s="1" t="s">
        <v>99</v>
      </c>
    </row>
    <row r="3" spans="1:14" ht="43.2" x14ac:dyDescent="0.3">
      <c r="A3" s="1" t="s">
        <v>100</v>
      </c>
      <c r="B3" s="1" t="s">
        <v>100</v>
      </c>
      <c r="C3" s="2">
        <v>1987200</v>
      </c>
      <c r="D3" s="2">
        <v>28.8</v>
      </c>
      <c r="E3" s="2">
        <v>12</v>
      </c>
      <c r="F3" s="2">
        <v>1.63</v>
      </c>
      <c r="G3" s="2">
        <v>5.7231360000000002E-2</v>
      </c>
      <c r="H3" s="2">
        <v>2.38464E-2</v>
      </c>
      <c r="I3" s="2">
        <v>3.2391359999999998</v>
      </c>
      <c r="J3" s="1" t="s">
        <v>1</v>
      </c>
      <c r="K3" s="1" t="s">
        <v>1</v>
      </c>
      <c r="L3" s="2">
        <v>2.80800109977163</v>
      </c>
      <c r="M3" s="2">
        <v>7.7612266737488396</v>
      </c>
      <c r="N3" s="1" t="s">
        <v>99</v>
      </c>
    </row>
    <row r="4" spans="1:14" ht="43.2" x14ac:dyDescent="0.3">
      <c r="A4" s="1" t="s">
        <v>101</v>
      </c>
      <c r="B4" s="1" t="s">
        <v>101</v>
      </c>
      <c r="C4" s="2">
        <v>1085100</v>
      </c>
      <c r="D4" s="2">
        <v>39</v>
      </c>
      <c r="E4" s="2">
        <v>12.9</v>
      </c>
      <c r="F4" s="2">
        <v>1.53</v>
      </c>
      <c r="G4" s="2">
        <v>4.23189E-2</v>
      </c>
      <c r="H4" s="2">
        <v>1.399779E-2</v>
      </c>
      <c r="I4" s="2">
        <v>1.6602030000000001</v>
      </c>
      <c r="J4" s="1" t="s">
        <v>1</v>
      </c>
      <c r="K4" s="1" t="s">
        <v>1</v>
      </c>
      <c r="L4" s="2">
        <v>1.53329407878532</v>
      </c>
      <c r="M4" s="2">
        <v>4.2379765819670201</v>
      </c>
      <c r="N4" s="1" t="s">
        <v>99</v>
      </c>
    </row>
    <row r="5" spans="1:14" ht="43.2" x14ac:dyDescent="0.3">
      <c r="A5" s="1" t="s">
        <v>102</v>
      </c>
      <c r="B5" s="1" t="s">
        <v>102</v>
      </c>
      <c r="C5" s="2">
        <v>812500</v>
      </c>
      <c r="D5" s="2">
        <v>31.2</v>
      </c>
      <c r="E5" s="2">
        <v>23.1</v>
      </c>
      <c r="F5" s="2">
        <v>1.24</v>
      </c>
      <c r="G5" s="2">
        <v>2.5350000000000001E-2</v>
      </c>
      <c r="H5" s="2">
        <v>1.8768750000000001E-2</v>
      </c>
      <c r="I5" s="2">
        <v>1.0075000000000001</v>
      </c>
      <c r="J5" s="1" t="s">
        <v>1</v>
      </c>
      <c r="K5" s="1" t="s">
        <v>1</v>
      </c>
      <c r="L5" s="2">
        <v>1.148098275747</v>
      </c>
      <c r="M5" s="2">
        <v>3.1733075042375898</v>
      </c>
      <c r="N5" s="1" t="s">
        <v>99</v>
      </c>
    </row>
    <row r="6" spans="1:14" ht="43.2" x14ac:dyDescent="0.3">
      <c r="A6" s="1" t="s">
        <v>103</v>
      </c>
      <c r="B6" s="1" t="s">
        <v>103</v>
      </c>
      <c r="C6" s="2">
        <v>139000</v>
      </c>
      <c r="D6" s="2">
        <v>234</v>
      </c>
      <c r="E6" s="2">
        <v>28.8</v>
      </c>
      <c r="F6" s="2">
        <v>1.24</v>
      </c>
      <c r="G6" s="2">
        <v>3.2525999999999999E-2</v>
      </c>
      <c r="H6" s="2">
        <v>4.0032000000000002E-3</v>
      </c>
      <c r="I6" s="2">
        <v>0.17236000000000001</v>
      </c>
      <c r="J6" s="1" t="s">
        <v>1</v>
      </c>
      <c r="K6" s="1" t="s">
        <v>1</v>
      </c>
      <c r="L6" s="2">
        <v>0.19641312040471801</v>
      </c>
      <c r="M6" s="2">
        <v>0.54287968380187601</v>
      </c>
      <c r="N6" s="1" t="s">
        <v>99</v>
      </c>
    </row>
    <row r="7" spans="1:14" ht="43.2" x14ac:dyDescent="0.3">
      <c r="A7" s="1" t="s">
        <v>104</v>
      </c>
      <c r="B7" s="1" t="s">
        <v>104</v>
      </c>
      <c r="C7" s="2">
        <v>78500</v>
      </c>
      <c r="D7" s="2">
        <v>18.100000000000001</v>
      </c>
      <c r="E7" s="2">
        <v>9.6</v>
      </c>
      <c r="F7" s="2">
        <v>0.81</v>
      </c>
      <c r="G7" s="2">
        <v>1.42085E-3</v>
      </c>
      <c r="H7" s="2">
        <v>7.5359999999999999E-4</v>
      </c>
      <c r="I7" s="2">
        <v>6.3585000000000003E-2</v>
      </c>
      <c r="J7" s="1" t="s">
        <v>1</v>
      </c>
      <c r="K7" s="1" t="s">
        <v>1</v>
      </c>
      <c r="L7" s="2">
        <v>0.110923956487557</v>
      </c>
      <c r="M7" s="2">
        <v>0.30659032502480099</v>
      </c>
      <c r="N7" s="1" t="s">
        <v>99</v>
      </c>
    </row>
    <row r="8" spans="1:14" ht="72" x14ac:dyDescent="0.3">
      <c r="A8" s="1" t="s">
        <v>105</v>
      </c>
      <c r="B8" s="1" t="s">
        <v>105</v>
      </c>
      <c r="C8" s="2">
        <v>63800</v>
      </c>
      <c r="D8" s="2">
        <v>18.600000000000001</v>
      </c>
      <c r="E8" s="2">
        <v>6.5</v>
      </c>
      <c r="F8" s="2">
        <v>0.91</v>
      </c>
      <c r="G8" s="2">
        <v>1.1866800000000001E-3</v>
      </c>
      <c r="H8" s="2">
        <v>4.147E-4</v>
      </c>
      <c r="I8" s="2">
        <v>5.8057999999999998E-2</v>
      </c>
      <c r="J8" s="1" t="s">
        <v>9</v>
      </c>
      <c r="K8" s="1" t="s">
        <v>10</v>
      </c>
      <c r="L8" s="2">
        <v>9.0152209221734003E-2</v>
      </c>
      <c r="M8" s="2">
        <v>0.249177869255825</v>
      </c>
      <c r="N8" s="1" t="s">
        <v>99</v>
      </c>
    </row>
    <row r="9" spans="1:14" ht="43.2" x14ac:dyDescent="0.3">
      <c r="A9" s="1" t="s">
        <v>106</v>
      </c>
      <c r="B9" s="1" t="s">
        <v>106</v>
      </c>
      <c r="C9" s="2">
        <v>50100</v>
      </c>
      <c r="D9" s="2">
        <v>49.7</v>
      </c>
      <c r="E9" s="2">
        <v>17.2</v>
      </c>
      <c r="F9" s="2">
        <v>1.29</v>
      </c>
      <c r="G9" s="2">
        <v>2.4899700000000002E-3</v>
      </c>
      <c r="H9" s="2">
        <v>8.6171999999999996E-4</v>
      </c>
      <c r="I9" s="2">
        <v>6.4629000000000006E-2</v>
      </c>
      <c r="J9" s="1" t="s">
        <v>1</v>
      </c>
      <c r="K9" s="1" t="s">
        <v>1</v>
      </c>
      <c r="L9" s="2">
        <v>7.0793505987599897E-2</v>
      </c>
      <c r="M9" s="2">
        <v>0.19567102272283499</v>
      </c>
      <c r="N9" s="1" t="s">
        <v>99</v>
      </c>
    </row>
    <row r="10" spans="1:14" ht="43.2" x14ac:dyDescent="0.3">
      <c r="A10" s="1" t="s">
        <v>107</v>
      </c>
      <c r="B10" s="1" t="s">
        <v>107</v>
      </c>
      <c r="C10" s="2">
        <v>2400</v>
      </c>
      <c r="D10" s="2">
        <v>68.8</v>
      </c>
      <c r="E10" s="2">
        <v>26.4</v>
      </c>
      <c r="F10" s="2">
        <v>0.77</v>
      </c>
      <c r="G10" s="2">
        <v>1.6511999999999999E-4</v>
      </c>
      <c r="H10" s="2">
        <v>6.3360000000000003E-5</v>
      </c>
      <c r="I10" s="2">
        <v>1.848E-3</v>
      </c>
      <c r="J10" s="1" t="s">
        <v>1</v>
      </c>
      <c r="K10" s="1" t="s">
        <v>1</v>
      </c>
      <c r="L10" s="2">
        <v>3.3913056760526898E-3</v>
      </c>
      <c r="M10" s="2">
        <v>9.3734621663633302E-3</v>
      </c>
      <c r="N10" s="1" t="s">
        <v>99</v>
      </c>
    </row>
    <row r="11" spans="1:14" ht="43.2" x14ac:dyDescent="0.3">
      <c r="A11" s="1" t="s">
        <v>108</v>
      </c>
      <c r="B11" s="1" t="s">
        <v>108</v>
      </c>
      <c r="C11" s="2">
        <v>46000</v>
      </c>
      <c r="D11" s="2">
        <v>61.5</v>
      </c>
      <c r="E11" s="2">
        <v>29.2</v>
      </c>
      <c r="F11" s="2">
        <v>1.48</v>
      </c>
      <c r="G11" s="2">
        <v>2.8289999999999999E-3</v>
      </c>
      <c r="H11" s="2">
        <v>1.3431999999999999E-3</v>
      </c>
      <c r="I11" s="2">
        <v>6.8080000000000002E-2</v>
      </c>
      <c r="J11" s="1" t="s">
        <v>1</v>
      </c>
      <c r="K11" s="1" t="s">
        <v>1</v>
      </c>
      <c r="L11" s="2">
        <v>6.5000025457676594E-2</v>
      </c>
      <c r="M11" s="2">
        <v>0.179658024855297</v>
      </c>
      <c r="N11" s="1" t="s">
        <v>99</v>
      </c>
    </row>
    <row r="12" spans="1:14" ht="43.2" x14ac:dyDescent="0.3">
      <c r="A12" s="1" t="s">
        <v>109</v>
      </c>
      <c r="B12" s="1" t="s">
        <v>109</v>
      </c>
      <c r="C12" s="2">
        <v>50200</v>
      </c>
      <c r="D12" s="2">
        <v>89.8</v>
      </c>
      <c r="E12" s="2">
        <v>48</v>
      </c>
      <c r="F12" s="2">
        <v>1.59</v>
      </c>
      <c r="G12" s="2">
        <v>4.5079600000000001E-3</v>
      </c>
      <c r="H12" s="2">
        <v>2.4096E-3</v>
      </c>
      <c r="I12" s="2">
        <v>7.9818E-2</v>
      </c>
      <c r="J12" s="1" t="s">
        <v>1</v>
      </c>
      <c r="K12" s="1" t="s">
        <v>1</v>
      </c>
      <c r="L12" s="2">
        <v>7.0934810390768793E-2</v>
      </c>
      <c r="M12" s="2">
        <v>0.196061583646433</v>
      </c>
      <c r="N12" s="1" t="s">
        <v>99</v>
      </c>
    </row>
    <row r="13" spans="1:14" ht="43.2" x14ac:dyDescent="0.3">
      <c r="A13" s="1" t="s">
        <v>110</v>
      </c>
      <c r="B13" s="1" t="s">
        <v>110</v>
      </c>
      <c r="C13" s="2">
        <v>50800</v>
      </c>
      <c r="D13" s="2">
        <v>77.099999999999994</v>
      </c>
      <c r="E13" s="2">
        <v>51.4</v>
      </c>
      <c r="F13" s="2">
        <v>1.54</v>
      </c>
      <c r="G13" s="2">
        <v>3.9166799999999996E-3</v>
      </c>
      <c r="H13" s="2">
        <v>2.6111200000000002E-3</v>
      </c>
      <c r="I13" s="2">
        <v>7.8231999999999996E-2</v>
      </c>
      <c r="J13" s="1" t="s">
        <v>1</v>
      </c>
      <c r="K13" s="1" t="s">
        <v>1</v>
      </c>
      <c r="L13" s="2">
        <v>7.1782636809781905E-2</v>
      </c>
      <c r="M13" s="2">
        <v>0.19840494918802401</v>
      </c>
      <c r="N13" s="1" t="s">
        <v>99</v>
      </c>
    </row>
    <row r="14" spans="1:14" ht="43.2" x14ac:dyDescent="0.3">
      <c r="A14" s="1" t="s">
        <v>111</v>
      </c>
      <c r="B14" s="1" t="s">
        <v>111</v>
      </c>
      <c r="C14" s="2">
        <v>49800</v>
      </c>
      <c r="D14" s="2">
        <v>81.400000000000006</v>
      </c>
      <c r="E14" s="2">
        <v>44</v>
      </c>
      <c r="F14" s="2">
        <v>1.51</v>
      </c>
      <c r="G14" s="2">
        <v>4.0537200000000002E-3</v>
      </c>
      <c r="H14" s="2">
        <v>2.1911999999999999E-3</v>
      </c>
      <c r="I14" s="2">
        <v>7.5198000000000001E-2</v>
      </c>
      <c r="J14" s="1" t="s">
        <v>1</v>
      </c>
      <c r="K14" s="1" t="s">
        <v>1</v>
      </c>
      <c r="L14" s="2">
        <v>7.0369592778093307E-2</v>
      </c>
      <c r="M14" s="2">
        <v>0.194499339952039</v>
      </c>
      <c r="N14" s="1" t="s">
        <v>99</v>
      </c>
    </row>
    <row r="15" spans="1:14" ht="43.2" x14ac:dyDescent="0.3">
      <c r="A15" s="1" t="s">
        <v>112</v>
      </c>
      <c r="B15" s="1" t="s">
        <v>112</v>
      </c>
      <c r="C15" s="2">
        <v>58800</v>
      </c>
      <c r="D15" s="2">
        <v>30.3</v>
      </c>
      <c r="E15" s="2">
        <v>17.899999999999999</v>
      </c>
      <c r="F15" s="2">
        <v>1.1100000000000001</v>
      </c>
      <c r="G15" s="2">
        <v>1.7816399999999999E-3</v>
      </c>
      <c r="H15" s="2">
        <v>1.0525199999999999E-3</v>
      </c>
      <c r="I15" s="2">
        <v>6.5268000000000007E-2</v>
      </c>
      <c r="J15" s="1" t="s">
        <v>1</v>
      </c>
      <c r="K15" s="1" t="s">
        <v>1</v>
      </c>
      <c r="L15" s="2">
        <v>8.30869890632909E-2</v>
      </c>
      <c r="M15" s="2">
        <v>0.22964982307590201</v>
      </c>
      <c r="N15" s="1" t="s">
        <v>99</v>
      </c>
    </row>
    <row r="16" spans="1:14" ht="43.2" x14ac:dyDescent="0.3">
      <c r="A16" s="1" t="s">
        <v>113</v>
      </c>
      <c r="B16" s="1" t="s">
        <v>113</v>
      </c>
      <c r="C16" s="2">
        <v>60500</v>
      </c>
      <c r="D16" s="2">
        <v>24.8</v>
      </c>
      <c r="E16" s="2">
        <v>17.899999999999999</v>
      </c>
      <c r="F16" s="2">
        <v>1.01</v>
      </c>
      <c r="G16" s="2">
        <v>1.5004E-3</v>
      </c>
      <c r="H16" s="2">
        <v>1.0829500000000001E-3</v>
      </c>
      <c r="I16" s="2">
        <v>6.1105E-2</v>
      </c>
      <c r="J16" s="1" t="s">
        <v>1</v>
      </c>
      <c r="K16" s="1" t="s">
        <v>1</v>
      </c>
      <c r="L16" s="2">
        <v>8.5489163917161604E-2</v>
      </c>
      <c r="M16" s="2">
        <v>0.23628935877707599</v>
      </c>
      <c r="N16" s="1" t="s">
        <v>99</v>
      </c>
    </row>
    <row r="17" spans="1:14" ht="43.2" x14ac:dyDescent="0.3">
      <c r="A17" s="1" t="s">
        <v>114</v>
      </c>
      <c r="B17" s="1" t="s">
        <v>114</v>
      </c>
      <c r="C17" s="2">
        <v>60700</v>
      </c>
      <c r="D17" s="2">
        <v>24</v>
      </c>
      <c r="E17" s="2">
        <v>16.8</v>
      </c>
      <c r="F17" s="2">
        <v>1.05</v>
      </c>
      <c r="G17" s="2">
        <v>1.4568000000000001E-3</v>
      </c>
      <c r="H17" s="2">
        <v>1.01976E-3</v>
      </c>
      <c r="I17" s="2">
        <v>6.3735E-2</v>
      </c>
      <c r="J17" s="1" t="s">
        <v>1</v>
      </c>
      <c r="K17" s="1" t="s">
        <v>1</v>
      </c>
      <c r="L17" s="2">
        <v>8.5771772723499298E-2</v>
      </c>
      <c r="M17" s="2">
        <v>0.23707048062427299</v>
      </c>
      <c r="N17" s="1" t="s">
        <v>99</v>
      </c>
    </row>
    <row r="18" spans="1:14" ht="43.2" x14ac:dyDescent="0.3">
      <c r="A18" s="1" t="s">
        <v>115</v>
      </c>
      <c r="B18" s="1" t="s">
        <v>115</v>
      </c>
      <c r="C18" s="2">
        <v>59700</v>
      </c>
      <c r="D18" s="2">
        <v>23.3</v>
      </c>
      <c r="E18" s="2">
        <v>16</v>
      </c>
      <c r="F18" s="2">
        <v>1.06</v>
      </c>
      <c r="G18" s="2">
        <v>1.39101E-3</v>
      </c>
      <c r="H18" s="2">
        <v>9.5520000000000002E-4</v>
      </c>
      <c r="I18" s="2">
        <v>6.3282000000000005E-2</v>
      </c>
      <c r="J18" s="1" t="s">
        <v>1</v>
      </c>
      <c r="K18" s="1" t="s">
        <v>1</v>
      </c>
      <c r="L18" s="2">
        <v>8.43587286918107E-2</v>
      </c>
      <c r="M18" s="2">
        <v>0.23316487138828801</v>
      </c>
      <c r="N18" s="1" t="s">
        <v>99</v>
      </c>
    </row>
    <row r="19" spans="1:14" ht="43.2" x14ac:dyDescent="0.3">
      <c r="A19" s="1" t="s">
        <v>116</v>
      </c>
      <c r="B19" s="1" t="s">
        <v>116</v>
      </c>
      <c r="C19" s="2">
        <v>1505800</v>
      </c>
      <c r="D19" s="2">
        <v>21.2</v>
      </c>
      <c r="E19" s="2">
        <v>16.8</v>
      </c>
      <c r="F19" s="2">
        <v>1.1599999999999999</v>
      </c>
      <c r="G19" s="2">
        <v>3.192296E-2</v>
      </c>
      <c r="H19" s="2">
        <v>2.5297440000000001E-2</v>
      </c>
      <c r="I19" s="2">
        <v>1.7467280000000001</v>
      </c>
      <c r="J19" s="1" t="s">
        <v>1</v>
      </c>
      <c r="K19" s="1" t="s">
        <v>1</v>
      </c>
      <c r="L19" s="2">
        <v>2.1277617029167302</v>
      </c>
      <c r="M19" s="2">
        <v>5.8810663875457898</v>
      </c>
      <c r="N19" s="1" t="s">
        <v>99</v>
      </c>
    </row>
    <row r="20" spans="1:14" ht="43.2" x14ac:dyDescent="0.3">
      <c r="A20" s="1" t="s">
        <v>117</v>
      </c>
      <c r="B20" s="1" t="s">
        <v>117</v>
      </c>
      <c r="C20" s="2">
        <v>757700</v>
      </c>
      <c r="D20" s="2">
        <v>28.1</v>
      </c>
      <c r="E20" s="2">
        <v>19.5</v>
      </c>
      <c r="F20" s="2">
        <v>1.3</v>
      </c>
      <c r="G20" s="2">
        <v>2.129137E-2</v>
      </c>
      <c r="H20" s="2">
        <v>1.4775150000000001E-2</v>
      </c>
      <c r="I20" s="2">
        <v>0.98501000000000005</v>
      </c>
      <c r="J20" s="1" t="s">
        <v>1</v>
      </c>
      <c r="K20" s="1" t="s">
        <v>1</v>
      </c>
      <c r="L20" s="2">
        <v>1.0706634628104701</v>
      </c>
      <c r="M20" s="2">
        <v>2.9592801181056201</v>
      </c>
      <c r="N20" s="1" t="s">
        <v>99</v>
      </c>
    </row>
    <row r="21" spans="1:14" s="4" customFormat="1" ht="57.6" x14ac:dyDescent="0.3">
      <c r="A21" s="5" t="s">
        <v>118</v>
      </c>
      <c r="B21" s="5" t="s">
        <v>118</v>
      </c>
      <c r="C21" s="6">
        <v>1747600</v>
      </c>
      <c r="D21" s="6">
        <v>64.400000000000006</v>
      </c>
      <c r="E21" s="6">
        <v>33.5</v>
      </c>
      <c r="F21" s="6">
        <v>1.22</v>
      </c>
      <c r="G21" s="6">
        <v>0.11254544</v>
      </c>
      <c r="H21" s="6">
        <v>5.8544600000000002E-2</v>
      </c>
      <c r="I21" s="6">
        <v>2.132072</v>
      </c>
      <c r="J21" s="5" t="s">
        <v>9</v>
      </c>
      <c r="K21" s="5" t="s">
        <v>21</v>
      </c>
      <c r="L21" s="6">
        <v>2.4694357497790298</v>
      </c>
      <c r="M21" s="6">
        <v>6.8254427008069003</v>
      </c>
      <c r="N21" s="5" t="s">
        <v>99</v>
      </c>
    </row>
    <row r="22" spans="1:14" s="4" customFormat="1" ht="57.6" x14ac:dyDescent="0.3">
      <c r="A22" s="5" t="s">
        <v>119</v>
      </c>
      <c r="B22" s="5" t="s">
        <v>119</v>
      </c>
      <c r="C22" s="6">
        <v>468200</v>
      </c>
      <c r="D22" s="6">
        <v>26</v>
      </c>
      <c r="E22" s="6">
        <v>15.4</v>
      </c>
      <c r="F22" s="6">
        <v>0.96</v>
      </c>
      <c r="G22" s="6">
        <v>1.21732E-2</v>
      </c>
      <c r="H22" s="6">
        <v>7.2102800000000003E-3</v>
      </c>
      <c r="I22" s="6">
        <v>0.44947199999999998</v>
      </c>
      <c r="J22" s="5" t="s">
        <v>9</v>
      </c>
      <c r="K22" s="5" t="s">
        <v>21</v>
      </c>
      <c r="L22" s="6">
        <v>0.66158721563661205</v>
      </c>
      <c r="M22" s="6">
        <v>1.82860624428805</v>
      </c>
      <c r="N22" s="5" t="s">
        <v>99</v>
      </c>
    </row>
    <row r="23" spans="1:14" ht="43.2" x14ac:dyDescent="0.3">
      <c r="A23" s="1" t="s">
        <v>120</v>
      </c>
      <c r="B23" s="1" t="s">
        <v>120</v>
      </c>
      <c r="C23" s="2">
        <v>91500</v>
      </c>
      <c r="D23" s="2">
        <v>59.1</v>
      </c>
      <c r="E23" s="2">
        <v>35.200000000000003</v>
      </c>
      <c r="F23" s="2">
        <v>1.23</v>
      </c>
      <c r="G23" s="2">
        <v>5.40765E-3</v>
      </c>
      <c r="H23" s="2">
        <v>3.2207999999999998E-3</v>
      </c>
      <c r="I23" s="2">
        <v>0.11254500000000001</v>
      </c>
      <c r="J23" s="1" t="s">
        <v>1</v>
      </c>
      <c r="K23" s="1" t="s">
        <v>1</v>
      </c>
      <c r="L23" s="2">
        <v>0.12929352889950901</v>
      </c>
      <c r="M23" s="2">
        <v>0.35736324509260198</v>
      </c>
      <c r="N23" s="1" t="s">
        <v>99</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zoomScale="80" zoomScaleNormal="80" workbookViewId="0">
      <selection activeCell="A13" sqref="A13:XFD13"/>
    </sheetView>
  </sheetViews>
  <sheetFormatPr defaultRowHeight="14.4" x14ac:dyDescent="0.3"/>
  <cols>
    <col min="1" max="1" width="16.21875" bestFit="1" customWidth="1"/>
    <col min="2" max="2" width="20.33203125" bestFit="1" customWidth="1"/>
    <col min="3" max="3" width="11.5546875" bestFit="1" customWidth="1"/>
    <col min="5" max="6" width="14.6640625" bestFit="1" customWidth="1"/>
    <col min="7" max="7" width="14.6640625" customWidth="1"/>
    <col min="8" max="9" width="11.6640625" bestFit="1" customWidth="1"/>
    <col min="10" max="10" width="11.5546875" bestFit="1" customWidth="1"/>
    <col min="11" max="11" width="76.6640625" bestFit="1" customWidth="1"/>
  </cols>
  <sheetData>
    <row r="1" spans="1:15" x14ac:dyDescent="0.3">
      <c r="A1" t="s">
        <v>243</v>
      </c>
      <c r="B1" t="s">
        <v>244</v>
      </c>
      <c r="C1" t="s">
        <v>206</v>
      </c>
      <c r="D1" t="s">
        <v>207</v>
      </c>
      <c r="E1" t="s">
        <v>208</v>
      </c>
      <c r="F1" t="s">
        <v>209</v>
      </c>
      <c r="G1" t="s">
        <v>214</v>
      </c>
      <c r="H1" t="s">
        <v>211</v>
      </c>
      <c r="I1" t="s">
        <v>212</v>
      </c>
      <c r="J1" t="s">
        <v>213</v>
      </c>
      <c r="K1" t="s">
        <v>210</v>
      </c>
      <c r="L1" t="s">
        <v>245</v>
      </c>
      <c r="M1" t="s">
        <v>246</v>
      </c>
      <c r="N1" t="s">
        <v>247</v>
      </c>
      <c r="O1" t="s">
        <v>248</v>
      </c>
    </row>
    <row r="2" spans="1:15" x14ac:dyDescent="0.3">
      <c r="A2" t="s">
        <v>100</v>
      </c>
      <c r="B2" t="s">
        <v>100</v>
      </c>
      <c r="C2" s="19" t="s">
        <v>99</v>
      </c>
      <c r="D2" s="7">
        <v>43222</v>
      </c>
      <c r="E2" s="12">
        <v>42857.583333333336</v>
      </c>
      <c r="F2" s="8">
        <v>42864.614583333336</v>
      </c>
      <c r="G2">
        <v>3072300</v>
      </c>
      <c r="H2" s="9">
        <v>9.9550260000000002E-2</v>
      </c>
      <c r="I2" s="9">
        <v>3.784419E-2</v>
      </c>
      <c r="J2" s="9">
        <v>4.8993389999999994</v>
      </c>
      <c r="K2" t="s">
        <v>233</v>
      </c>
    </row>
    <row r="3" spans="1:15" x14ac:dyDescent="0.3">
      <c r="A3" t="s">
        <v>102</v>
      </c>
      <c r="B3" t="s">
        <v>102</v>
      </c>
      <c r="C3" t="s">
        <v>99</v>
      </c>
      <c r="D3" s="7">
        <v>43229</v>
      </c>
      <c r="E3" s="8">
        <v>42864.625</v>
      </c>
      <c r="F3" s="8">
        <v>42871.447916666664</v>
      </c>
      <c r="G3">
        <v>812500</v>
      </c>
      <c r="H3" s="9">
        <v>2.5350000000000001E-2</v>
      </c>
      <c r="I3" s="9">
        <v>1.8768750000000001E-2</v>
      </c>
      <c r="J3" s="9">
        <v>1.0075000000000001</v>
      </c>
    </row>
    <row r="4" spans="1:15" x14ac:dyDescent="0.3">
      <c r="A4" t="s">
        <v>103</v>
      </c>
      <c r="B4" t="s">
        <v>103</v>
      </c>
      <c r="C4" t="s">
        <v>99</v>
      </c>
      <c r="D4" s="7">
        <v>43236</v>
      </c>
      <c r="E4" s="8">
        <v>42871.458333333336</v>
      </c>
      <c r="F4" s="8">
        <v>42878.385416666664</v>
      </c>
      <c r="G4">
        <v>139000</v>
      </c>
      <c r="H4" s="9">
        <v>3.2525999999999999E-2</v>
      </c>
      <c r="I4" s="9">
        <v>4.0032000000000002E-3</v>
      </c>
      <c r="J4" s="9">
        <v>0.17236000000000001</v>
      </c>
    </row>
    <row r="5" spans="1:15" x14ac:dyDescent="0.3">
      <c r="A5" t="s">
        <v>104</v>
      </c>
      <c r="B5" t="s">
        <v>104</v>
      </c>
      <c r="C5" t="s">
        <v>99</v>
      </c>
      <c r="D5" s="7">
        <v>43243</v>
      </c>
      <c r="E5" s="8">
        <v>42878.395833333336</v>
      </c>
      <c r="F5" s="8">
        <v>42885.4375</v>
      </c>
      <c r="G5">
        <v>78500</v>
      </c>
      <c r="H5" s="9">
        <v>1.42085E-3</v>
      </c>
      <c r="I5" s="9">
        <v>7.5359999999999999E-4</v>
      </c>
      <c r="J5" s="9">
        <v>6.3585000000000003E-2</v>
      </c>
    </row>
    <row r="6" spans="1:15" x14ac:dyDescent="0.3">
      <c r="A6" t="s">
        <v>105</v>
      </c>
      <c r="B6" t="s">
        <v>105</v>
      </c>
      <c r="C6" t="s">
        <v>99</v>
      </c>
      <c r="D6" s="7">
        <v>43250</v>
      </c>
      <c r="E6" s="8">
        <v>42885.447916666664</v>
      </c>
      <c r="F6" s="8">
        <v>42893.520833333336</v>
      </c>
      <c r="G6">
        <v>63800</v>
      </c>
      <c r="H6">
        <v>1.1866800000000001E-3</v>
      </c>
      <c r="I6">
        <v>4.147E-4</v>
      </c>
      <c r="J6">
        <v>5.8057999999999998E-2</v>
      </c>
    </row>
    <row r="7" spans="1:15" x14ac:dyDescent="0.3">
      <c r="A7" t="s">
        <v>106</v>
      </c>
      <c r="B7" t="s">
        <v>106</v>
      </c>
      <c r="C7" t="s">
        <v>99</v>
      </c>
      <c r="D7" s="7">
        <v>43258</v>
      </c>
      <c r="E7" s="8">
        <v>42893.53125</v>
      </c>
      <c r="F7" s="8">
        <v>42899.354166666664</v>
      </c>
      <c r="G7">
        <v>50100</v>
      </c>
      <c r="H7">
        <v>2.4899700000000002E-3</v>
      </c>
      <c r="I7">
        <v>8.6171999999999996E-4</v>
      </c>
      <c r="J7">
        <v>6.4629000000000006E-2</v>
      </c>
    </row>
    <row r="8" spans="1:15" x14ac:dyDescent="0.3">
      <c r="A8" t="s">
        <v>107</v>
      </c>
      <c r="B8" t="s">
        <v>107</v>
      </c>
      <c r="C8" t="s">
        <v>99</v>
      </c>
      <c r="D8" s="7">
        <v>43264</v>
      </c>
      <c r="E8" s="8">
        <v>42899.364583333336</v>
      </c>
      <c r="F8" s="8">
        <v>42908.520833333336</v>
      </c>
      <c r="G8">
        <v>2400</v>
      </c>
      <c r="H8">
        <v>1.6511999999999999E-4</v>
      </c>
      <c r="I8">
        <v>6.3360000000000003E-5</v>
      </c>
      <c r="J8">
        <v>1.848E-3</v>
      </c>
    </row>
    <row r="9" spans="1:15" x14ac:dyDescent="0.3">
      <c r="A9" s="19" t="s">
        <v>108</v>
      </c>
      <c r="B9" s="19" t="s">
        <v>108</v>
      </c>
      <c r="C9" s="19" t="s">
        <v>99</v>
      </c>
      <c r="D9" s="20">
        <v>43273</v>
      </c>
      <c r="E9" s="12">
        <v>42908.53125</v>
      </c>
      <c r="F9" s="12">
        <v>42910.114583333336</v>
      </c>
      <c r="K9" s="19" t="s">
        <v>234</v>
      </c>
      <c r="L9" s="22">
        <v>855900</v>
      </c>
      <c r="M9" s="22">
        <v>1.5307359999999999E-2</v>
      </c>
      <c r="N9" s="22">
        <v>8.5551199999999994E-3</v>
      </c>
      <c r="O9" s="22">
        <v>0.30132799999999998</v>
      </c>
    </row>
    <row r="10" spans="1:15" x14ac:dyDescent="0.3">
      <c r="A10" s="19" t="s">
        <v>112</v>
      </c>
      <c r="B10" s="19" t="s">
        <v>112</v>
      </c>
      <c r="C10" s="19" t="s">
        <v>99</v>
      </c>
      <c r="D10" s="20">
        <v>43278</v>
      </c>
      <c r="E10" s="12">
        <v>42913.625</v>
      </c>
      <c r="F10" s="12">
        <v>42914.041666666664</v>
      </c>
      <c r="K10" s="19" t="s">
        <v>235</v>
      </c>
      <c r="L10" s="22">
        <v>2949300</v>
      </c>
      <c r="M10" s="22">
        <v>3.8052809999999999E-2</v>
      </c>
      <c r="N10" s="22">
        <v>2.9407870000000003E-2</v>
      </c>
      <c r="O10" s="22">
        <v>2.0001180000000001</v>
      </c>
    </row>
    <row r="11" spans="1:15" s="19" customFormat="1" x14ac:dyDescent="0.3">
      <c r="A11" s="25" t="s">
        <v>117</v>
      </c>
      <c r="B11" s="25" t="s">
        <v>117</v>
      </c>
      <c r="C11" s="19" t="s">
        <v>99</v>
      </c>
      <c r="D11" s="20">
        <v>43286</v>
      </c>
      <c r="E11" s="12">
        <v>42921.40625</v>
      </c>
      <c r="F11" s="12">
        <v>42927.614583333336</v>
      </c>
      <c r="G11" s="19">
        <v>757700</v>
      </c>
      <c r="H11" s="19">
        <v>2.129137E-2</v>
      </c>
      <c r="I11" s="19">
        <v>1.4775150000000001E-2</v>
      </c>
      <c r="J11" s="19">
        <v>0.98501000000000005</v>
      </c>
    </row>
    <row r="12" spans="1:15" s="4" customFormat="1" x14ac:dyDescent="0.3">
      <c r="A12" s="24" t="s">
        <v>118</v>
      </c>
      <c r="B12" s="24" t="s">
        <v>118</v>
      </c>
      <c r="C12" s="4" t="s">
        <v>99</v>
      </c>
      <c r="D12" s="16">
        <v>43292</v>
      </c>
      <c r="E12" s="17">
        <v>42927.625</v>
      </c>
      <c r="F12" s="17">
        <v>42934.614583333336</v>
      </c>
      <c r="G12" s="4">
        <v>1747600</v>
      </c>
      <c r="H12" s="4">
        <v>0.11254544</v>
      </c>
      <c r="I12" s="4">
        <v>5.8544600000000002E-2</v>
      </c>
      <c r="J12" s="4">
        <v>2.132072</v>
      </c>
      <c r="K12" s="4" t="s">
        <v>21</v>
      </c>
    </row>
    <row r="13" spans="1:15" s="4" customFormat="1" x14ac:dyDescent="0.3">
      <c r="A13" s="24" t="s">
        <v>119</v>
      </c>
      <c r="B13" s="24" t="s">
        <v>119</v>
      </c>
      <c r="C13" s="4" t="s">
        <v>99</v>
      </c>
      <c r="D13" s="16">
        <v>43299</v>
      </c>
      <c r="E13" s="17">
        <v>42934.625</v>
      </c>
      <c r="F13" s="17">
        <v>42942.291666666664</v>
      </c>
      <c r="G13" s="4">
        <v>468200</v>
      </c>
      <c r="H13" s="4">
        <v>1.21732E-2</v>
      </c>
      <c r="I13" s="4">
        <v>7.2102800000000003E-3</v>
      </c>
      <c r="J13" s="4">
        <v>0.44947199999999998</v>
      </c>
      <c r="K13" s="4" t="s">
        <v>21</v>
      </c>
    </row>
    <row r="14" spans="1:15" x14ac:dyDescent="0.3">
      <c r="A14" s="23" t="s">
        <v>120</v>
      </c>
      <c r="B14" s="23" t="s">
        <v>120</v>
      </c>
      <c r="C14" t="s">
        <v>99</v>
      </c>
      <c r="D14" s="7">
        <v>43307</v>
      </c>
      <c r="E14" s="8">
        <v>42942.302083333336</v>
      </c>
      <c r="F14" s="8">
        <v>42948.114583333336</v>
      </c>
      <c r="G14">
        <v>91500</v>
      </c>
      <c r="H14">
        <v>5.40765E-3</v>
      </c>
      <c r="I14">
        <v>3.2207999999999998E-3</v>
      </c>
      <c r="J14">
        <v>0.11254500000000001</v>
      </c>
    </row>
    <row r="15" spans="1:15" x14ac:dyDescent="0.3">
      <c r="E15" s="11"/>
      <c r="F15" s="11"/>
      <c r="G15" s="11"/>
      <c r="H15" s="9"/>
      <c r="I15" s="9"/>
    </row>
    <row r="16" spans="1:15" x14ac:dyDescent="0.3">
      <c r="A16" s="11"/>
      <c r="B16" s="11"/>
      <c r="C16" s="9"/>
      <c r="E16" s="11"/>
      <c r="F16" s="11"/>
      <c r="G16" s="11"/>
      <c r="H16" s="9"/>
      <c r="I16" s="9"/>
    </row>
    <row r="17" spans="1:9" x14ac:dyDescent="0.3">
      <c r="A17" s="11"/>
      <c r="B17" s="11"/>
      <c r="C17" s="9"/>
      <c r="E17" s="11"/>
      <c r="F17" s="11"/>
      <c r="G17" s="11"/>
      <c r="H17" s="9"/>
      <c r="I17" s="9"/>
    </row>
    <row r="18" spans="1:9" x14ac:dyDescent="0.3">
      <c r="A18" s="11"/>
      <c r="B18" s="11"/>
      <c r="C18" s="9"/>
      <c r="E18" s="11"/>
      <c r="F18" s="11"/>
      <c r="G18" s="11"/>
      <c r="H18" s="9"/>
      <c r="I18" s="9"/>
    </row>
    <row r="19" spans="1:9" x14ac:dyDescent="0.3">
      <c r="A19" s="11"/>
      <c r="B19" s="11"/>
      <c r="C19" s="9"/>
      <c r="E19" s="11"/>
      <c r="F19" s="11"/>
      <c r="G19" s="11"/>
      <c r="H19" s="9"/>
      <c r="I19" s="9"/>
    </row>
    <row r="20" spans="1:9" x14ac:dyDescent="0.3">
      <c r="A20" s="11"/>
      <c r="B20" s="11"/>
      <c r="C20" s="9"/>
      <c r="E20" s="11"/>
      <c r="F20" s="11"/>
      <c r="G20" s="11"/>
      <c r="H20" s="9"/>
      <c r="I20" s="9"/>
    </row>
    <row r="21" spans="1:9" x14ac:dyDescent="0.3">
      <c r="A21" s="11"/>
      <c r="B21" s="11"/>
      <c r="C21" s="9"/>
      <c r="E21" s="11"/>
      <c r="F21" s="11"/>
      <c r="G21" s="11"/>
      <c r="H21" s="9"/>
      <c r="I21" s="9"/>
    </row>
    <row r="22" spans="1:9" x14ac:dyDescent="0.3">
      <c r="A22" s="11"/>
      <c r="B22" s="11"/>
      <c r="C22" s="9"/>
      <c r="E22" s="11"/>
      <c r="F22" s="11"/>
      <c r="G22" s="11"/>
      <c r="H22" s="9"/>
      <c r="I22" s="9"/>
    </row>
    <row r="23" spans="1:9" x14ac:dyDescent="0.3">
      <c r="A23" s="11"/>
      <c r="B23" s="11"/>
      <c r="C23" s="9"/>
      <c r="E23" s="11"/>
      <c r="F23" s="11"/>
      <c r="G23" s="11"/>
      <c r="H23" s="9"/>
      <c r="I23" s="9"/>
    </row>
    <row r="24" spans="1:9" x14ac:dyDescent="0.3">
      <c r="A24" s="11"/>
      <c r="B24" s="11"/>
      <c r="C24" s="9"/>
      <c r="E24" s="11"/>
      <c r="F24" s="11"/>
      <c r="G24" s="11"/>
      <c r="H24" s="9"/>
      <c r="I24" s="9"/>
    </row>
    <row r="25" spans="1:9" x14ac:dyDescent="0.3">
      <c r="A25" s="11"/>
      <c r="B25" s="11"/>
      <c r="C25" s="9"/>
      <c r="E25" s="11"/>
      <c r="F25" s="11"/>
      <c r="G25" s="11"/>
      <c r="H25" s="9"/>
      <c r="I25" s="9"/>
    </row>
    <row r="26" spans="1:9" x14ac:dyDescent="0.3">
      <c r="A26" s="11"/>
      <c r="B26" s="11"/>
      <c r="C26" s="9"/>
      <c r="E26" s="11"/>
      <c r="F26" s="11"/>
      <c r="G26" s="11"/>
      <c r="H26" s="9"/>
    </row>
    <row r="27" spans="1:9" x14ac:dyDescent="0.3">
      <c r="A27" s="11"/>
      <c r="B27" s="11"/>
      <c r="C27" s="9"/>
      <c r="F27" s="11"/>
      <c r="G27" s="11"/>
      <c r="H27" s="9"/>
    </row>
    <row r="28" spans="1:9" x14ac:dyDescent="0.3">
      <c r="A28" s="11"/>
      <c r="B28" s="11"/>
      <c r="C28" s="9"/>
      <c r="F28" s="11"/>
      <c r="G28" s="11"/>
      <c r="H28" s="9"/>
    </row>
    <row r="29" spans="1:9" x14ac:dyDescent="0.3">
      <c r="A29" s="11"/>
      <c r="B29" s="11"/>
      <c r="C29" s="9"/>
      <c r="F29" s="11"/>
      <c r="G29" s="11"/>
      <c r="H29" s="9"/>
    </row>
    <row r="30" spans="1:9" x14ac:dyDescent="0.3">
      <c r="A30" s="11"/>
      <c r="B30" s="11"/>
      <c r="C30" s="9"/>
      <c r="F30" s="11"/>
      <c r="G30" s="11"/>
      <c r="H30" s="9"/>
    </row>
    <row r="31" spans="1:9" x14ac:dyDescent="0.3">
      <c r="A31" s="11"/>
      <c r="B31" s="11"/>
      <c r="C31" s="9"/>
      <c r="F31" s="11"/>
      <c r="G31" s="11"/>
      <c r="H31" s="9"/>
    </row>
    <row r="32" spans="1:9" x14ac:dyDescent="0.3">
      <c r="A32" s="11"/>
      <c r="B32" s="11"/>
      <c r="C32" s="9"/>
      <c r="F32" s="11"/>
      <c r="G32" s="11"/>
      <c r="H32" s="9"/>
    </row>
    <row r="33" spans="1:8" x14ac:dyDescent="0.3">
      <c r="A33" s="11"/>
      <c r="B33" s="11"/>
      <c r="C33" s="9"/>
      <c r="F33" s="11"/>
      <c r="G33" s="11"/>
      <c r="H33" s="9"/>
    </row>
    <row r="34" spans="1:8" x14ac:dyDescent="0.3">
      <c r="A34" s="11"/>
      <c r="B34" s="11"/>
      <c r="C34" s="9"/>
    </row>
    <row r="35" spans="1:8" x14ac:dyDescent="0.3">
      <c r="A35" s="11"/>
      <c r="B35" s="11"/>
      <c r="C35" s="9"/>
    </row>
    <row r="36" spans="1:8" x14ac:dyDescent="0.3">
      <c r="A36" s="11"/>
      <c r="B36" s="11"/>
      <c r="C36" s="9"/>
    </row>
    <row r="37" spans="1:8" x14ac:dyDescent="0.3">
      <c r="A37" s="11"/>
      <c r="B37" s="11"/>
      <c r="C37" s="9"/>
    </row>
    <row r="38" spans="1:8" x14ac:dyDescent="0.3">
      <c r="A38" s="11"/>
      <c r="B38" s="11"/>
      <c r="C38" s="9"/>
    </row>
    <row r="39" spans="1:8" x14ac:dyDescent="0.3">
      <c r="A39" s="11"/>
      <c r="B39" s="11"/>
      <c r="C39" s="9"/>
    </row>
    <row r="40" spans="1:8" x14ac:dyDescent="0.3">
      <c r="A40" s="11"/>
      <c r="B40" s="11"/>
      <c r="C40" s="9"/>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workbookViewId="0">
      <selection activeCell="A4" sqref="A4:XFD4"/>
    </sheetView>
  </sheetViews>
  <sheetFormatPr defaultRowHeight="14.4" x14ac:dyDescent="0.3"/>
  <sheetData>
    <row r="1" spans="1:15" x14ac:dyDescent="0.3">
      <c r="A1" t="s">
        <v>33</v>
      </c>
      <c r="B1" s="3" t="s">
        <v>23</v>
      </c>
      <c r="C1" s="3" t="s">
        <v>24</v>
      </c>
      <c r="D1" s="3" t="s">
        <v>25</v>
      </c>
      <c r="E1" s="3" t="s">
        <v>26</v>
      </c>
      <c r="F1" s="3" t="s">
        <v>27</v>
      </c>
      <c r="G1" s="3" t="s">
        <v>28</v>
      </c>
      <c r="H1" s="3" t="s">
        <v>29</v>
      </c>
      <c r="I1" s="3" t="s">
        <v>30</v>
      </c>
      <c r="J1" s="3" t="s">
        <v>31</v>
      </c>
      <c r="K1" s="3" t="s">
        <v>32</v>
      </c>
      <c r="L1" s="3" t="s">
        <v>33</v>
      </c>
      <c r="M1" s="3" t="s">
        <v>34</v>
      </c>
      <c r="N1" s="3" t="s">
        <v>35</v>
      </c>
      <c r="O1" s="3" t="s">
        <v>36</v>
      </c>
    </row>
    <row r="2" spans="1:15" ht="43.2" x14ac:dyDescent="0.3">
      <c r="B2" s="1" t="s">
        <v>121</v>
      </c>
      <c r="C2" s="1" t="s">
        <v>121</v>
      </c>
      <c r="D2" s="2">
        <v>1545000</v>
      </c>
      <c r="E2" s="2">
        <v>342</v>
      </c>
      <c r="F2" s="2">
        <v>59.3</v>
      </c>
      <c r="G2" s="2">
        <v>7.2</v>
      </c>
      <c r="H2" s="2">
        <v>0.52839000000000003</v>
      </c>
      <c r="I2" s="2">
        <v>9.1618500000000005E-2</v>
      </c>
      <c r="J2" s="2">
        <v>11.124000000000001</v>
      </c>
      <c r="K2" s="1" t="s">
        <v>1</v>
      </c>
      <c r="L2" s="1" t="s">
        <v>1</v>
      </c>
      <c r="M2" s="2">
        <v>2.2431744605808102</v>
      </c>
      <c r="N2" s="2">
        <v>4.4104675095560104</v>
      </c>
      <c r="O2" s="1" t="s">
        <v>122</v>
      </c>
    </row>
    <row r="3" spans="1:15" ht="43.2" x14ac:dyDescent="0.3">
      <c r="B3" s="1" t="s">
        <v>123</v>
      </c>
      <c r="C3" s="1" t="s">
        <v>123</v>
      </c>
      <c r="D3" s="2">
        <v>2743200</v>
      </c>
      <c r="E3" s="2">
        <v>177</v>
      </c>
      <c r="F3" s="2">
        <v>51.1</v>
      </c>
      <c r="G3" s="2">
        <v>7.12</v>
      </c>
      <c r="H3" s="2">
        <v>0.48554639999999999</v>
      </c>
      <c r="I3" s="2">
        <v>0.14017752</v>
      </c>
      <c r="J3" s="2">
        <v>19.531583999999999</v>
      </c>
      <c r="K3" s="1" t="s">
        <v>1</v>
      </c>
      <c r="L3" s="1" t="s">
        <v>1</v>
      </c>
      <c r="M3" s="2">
        <v>3.9828324791360998</v>
      </c>
      <c r="N3" s="2">
        <v>7.8309349334718803</v>
      </c>
      <c r="O3" s="1" t="s">
        <v>122</v>
      </c>
    </row>
    <row r="4" spans="1:15" s="4" customFormat="1" ht="86.4" x14ac:dyDescent="0.3">
      <c r="A4" s="4" t="s">
        <v>203</v>
      </c>
      <c r="B4" s="5" t="s">
        <v>124</v>
      </c>
      <c r="C4" s="5" t="s">
        <v>124</v>
      </c>
      <c r="D4" s="6">
        <v>1021600</v>
      </c>
      <c r="E4" s="6">
        <v>4335</v>
      </c>
      <c r="F4" s="6">
        <v>1640</v>
      </c>
      <c r="G4" s="6">
        <v>51.21</v>
      </c>
      <c r="H4" s="6">
        <v>4.428636</v>
      </c>
      <c r="I4" s="6">
        <v>1.675424</v>
      </c>
      <c r="J4" s="6">
        <v>52.316136</v>
      </c>
      <c r="K4" s="5" t="s">
        <v>9</v>
      </c>
      <c r="L4" s="5" t="s">
        <v>125</v>
      </c>
      <c r="M4" s="6">
        <v>1.48325374040735</v>
      </c>
      <c r="N4" s="6">
        <v>2.9163324322086899</v>
      </c>
      <c r="O4" s="5" t="s">
        <v>122</v>
      </c>
    </row>
    <row r="5" spans="1:15" ht="43.2" x14ac:dyDescent="0.3">
      <c r="B5" s="1" t="s">
        <v>126</v>
      </c>
      <c r="C5" s="1" t="s">
        <v>126</v>
      </c>
      <c r="D5" s="2">
        <v>514300</v>
      </c>
      <c r="E5" s="2">
        <v>690</v>
      </c>
      <c r="F5" s="2">
        <v>183</v>
      </c>
      <c r="G5" s="2">
        <v>9.66</v>
      </c>
      <c r="H5" s="2">
        <v>0.35486699999999999</v>
      </c>
      <c r="I5" s="2">
        <v>9.4116900000000003E-2</v>
      </c>
      <c r="J5" s="2">
        <v>4.9681379999999997</v>
      </c>
      <c r="K5" s="1" t="s">
        <v>1</v>
      </c>
      <c r="L5" s="1" t="s">
        <v>1</v>
      </c>
      <c r="M5" s="2">
        <v>0.74670849519528104</v>
      </c>
      <c r="N5" s="2">
        <v>1.46815756644962</v>
      </c>
      <c r="O5" s="1" t="s">
        <v>122</v>
      </c>
    </row>
    <row r="6" spans="1:15" ht="43.2" x14ac:dyDescent="0.3">
      <c r="B6" s="1" t="s">
        <v>127</v>
      </c>
      <c r="C6" s="1" t="s">
        <v>127</v>
      </c>
      <c r="D6" s="2">
        <v>458000</v>
      </c>
      <c r="E6" s="2">
        <v>78.2</v>
      </c>
      <c r="F6" s="2">
        <v>75.7</v>
      </c>
      <c r="G6" s="2">
        <v>7.72</v>
      </c>
      <c r="H6" s="2">
        <v>3.5815600000000003E-2</v>
      </c>
      <c r="I6" s="2">
        <v>3.4670600000000003E-2</v>
      </c>
      <c r="J6" s="2">
        <v>3.5357599999999998</v>
      </c>
      <c r="K6" s="1" t="s">
        <v>1</v>
      </c>
      <c r="L6" s="1" t="s">
        <v>1</v>
      </c>
      <c r="M6" s="2">
        <v>0.66496692747314501</v>
      </c>
      <c r="N6" s="2">
        <v>1.30743955946709</v>
      </c>
      <c r="O6" s="1" t="s">
        <v>122</v>
      </c>
    </row>
    <row r="7" spans="1:15" ht="43.2" x14ac:dyDescent="0.3">
      <c r="B7" s="1" t="s">
        <v>128</v>
      </c>
      <c r="C7" s="1" t="s">
        <v>128</v>
      </c>
      <c r="D7" s="2">
        <v>807800</v>
      </c>
      <c r="E7" s="2">
        <v>138</v>
      </c>
      <c r="F7" s="2">
        <v>143</v>
      </c>
      <c r="G7" s="2">
        <v>19.95</v>
      </c>
      <c r="H7" s="2">
        <v>0.1114764</v>
      </c>
      <c r="I7" s="2">
        <v>0.1155154</v>
      </c>
      <c r="J7" s="2">
        <v>16.11561</v>
      </c>
      <c r="K7" s="1" t="s">
        <v>1</v>
      </c>
      <c r="L7" s="1" t="s">
        <v>1</v>
      </c>
      <c r="M7" s="2">
        <v>1.1728390480629001</v>
      </c>
      <c r="N7" s="2">
        <v>2.3060036596889</v>
      </c>
      <c r="O7" s="1" t="s">
        <v>122</v>
      </c>
    </row>
    <row r="8" spans="1:15" ht="43.2" x14ac:dyDescent="0.3">
      <c r="B8" s="1" t="s">
        <v>129</v>
      </c>
      <c r="C8" s="1" t="s">
        <v>129</v>
      </c>
      <c r="D8" s="2">
        <v>821400</v>
      </c>
      <c r="E8" s="2">
        <v>73.599999999999994</v>
      </c>
      <c r="F8" s="2">
        <v>60.1</v>
      </c>
      <c r="G8" s="2">
        <v>9.89</v>
      </c>
      <c r="H8" s="2">
        <v>6.0455040000000002E-2</v>
      </c>
      <c r="I8" s="2">
        <v>4.9366140000000003E-2</v>
      </c>
      <c r="J8" s="2">
        <v>8.1236460000000008</v>
      </c>
      <c r="K8" s="1" t="s">
        <v>1</v>
      </c>
      <c r="L8" s="1" t="s">
        <v>1</v>
      </c>
      <c r="M8" s="2">
        <v>1.1925847908874301</v>
      </c>
      <c r="N8" s="2">
        <v>2.3448271924591002</v>
      </c>
      <c r="O8" s="1" t="s">
        <v>122</v>
      </c>
    </row>
    <row r="9" spans="1:15" ht="43.2" x14ac:dyDescent="0.3">
      <c r="B9" s="1" t="s">
        <v>130</v>
      </c>
      <c r="C9" s="1" t="s">
        <v>130</v>
      </c>
      <c r="D9" s="2">
        <v>755800</v>
      </c>
      <c r="E9" s="2">
        <v>189</v>
      </c>
      <c r="F9" s="2">
        <v>132</v>
      </c>
      <c r="G9" s="2">
        <v>11.88</v>
      </c>
      <c r="H9" s="2">
        <v>0.14284620000000001</v>
      </c>
      <c r="I9" s="2">
        <v>9.9765599999999996E-2</v>
      </c>
      <c r="J9" s="2">
        <v>8.978904</v>
      </c>
      <c r="K9" s="1" t="s">
        <v>1</v>
      </c>
      <c r="L9" s="1" t="s">
        <v>1</v>
      </c>
      <c r="M9" s="2">
        <v>1.0973406196161599</v>
      </c>
      <c r="N9" s="2">
        <v>2.15756074027342</v>
      </c>
      <c r="O9" s="1" t="s">
        <v>122</v>
      </c>
    </row>
    <row r="10" spans="1:15" ht="43.2" x14ac:dyDescent="0.3">
      <c r="B10" s="1" t="s">
        <v>131</v>
      </c>
      <c r="C10" s="1" t="s">
        <v>131</v>
      </c>
      <c r="D10" s="2">
        <v>784400</v>
      </c>
      <c r="E10" s="2">
        <v>482</v>
      </c>
      <c r="F10" s="2">
        <v>208</v>
      </c>
      <c r="G10" s="2">
        <v>31.95</v>
      </c>
      <c r="H10" s="2">
        <v>0.37808079999999999</v>
      </c>
      <c r="I10" s="2">
        <v>0.1631552</v>
      </c>
      <c r="J10" s="2">
        <v>25.061579999999999</v>
      </c>
      <c r="K10" s="1" t="s">
        <v>1</v>
      </c>
      <c r="L10" s="1" t="s">
        <v>1</v>
      </c>
      <c r="M10" s="2">
        <v>1.13886475526187</v>
      </c>
      <c r="N10" s="2">
        <v>2.2392043459519302</v>
      </c>
      <c r="O10" s="1" t="s">
        <v>122</v>
      </c>
    </row>
    <row r="11" spans="1:15" ht="43.2" x14ac:dyDescent="0.3">
      <c r="B11" s="1" t="s">
        <v>132</v>
      </c>
      <c r="C11" s="1" t="s">
        <v>132</v>
      </c>
      <c r="D11" s="2">
        <v>802800</v>
      </c>
      <c r="E11" s="2">
        <v>618</v>
      </c>
      <c r="F11" s="2">
        <v>345</v>
      </c>
      <c r="G11" s="2">
        <v>22.75</v>
      </c>
      <c r="H11" s="2">
        <v>0.49613040000000003</v>
      </c>
      <c r="I11" s="2">
        <v>0.27696599999999999</v>
      </c>
      <c r="J11" s="2">
        <v>18.2637</v>
      </c>
      <c r="K11" s="1" t="s">
        <v>1</v>
      </c>
      <c r="L11" s="1" t="s">
        <v>1</v>
      </c>
      <c r="M11" s="2">
        <v>1.16557958378917</v>
      </c>
      <c r="N11" s="2">
        <v>2.2917303020527902</v>
      </c>
      <c r="O11" s="1" t="s">
        <v>122</v>
      </c>
    </row>
    <row r="12" spans="1:15" ht="43.2" x14ac:dyDescent="0.3">
      <c r="B12" s="1" t="s">
        <v>133</v>
      </c>
      <c r="C12" s="1" t="s">
        <v>133</v>
      </c>
      <c r="D12" s="2">
        <v>809800</v>
      </c>
      <c r="E12" s="2">
        <v>246</v>
      </c>
      <c r="F12" s="2">
        <v>216</v>
      </c>
      <c r="G12" s="2">
        <v>19.91</v>
      </c>
      <c r="H12" s="2">
        <v>0.19921079999999999</v>
      </c>
      <c r="I12" s="2">
        <v>0.17491680000000001</v>
      </c>
      <c r="J12" s="2">
        <v>16.123118000000002</v>
      </c>
      <c r="K12" s="1" t="s">
        <v>1</v>
      </c>
      <c r="L12" s="1" t="s">
        <v>1</v>
      </c>
      <c r="M12" s="2">
        <v>1.1757428337723901</v>
      </c>
      <c r="N12" s="2">
        <v>2.3117130027433399</v>
      </c>
      <c r="O12" s="1" t="s">
        <v>122</v>
      </c>
    </row>
    <row r="13" spans="1:15" ht="43.2" x14ac:dyDescent="0.3">
      <c r="B13" s="1" t="s">
        <v>134</v>
      </c>
      <c r="C13" s="1" t="s">
        <v>134</v>
      </c>
      <c r="D13" s="2">
        <v>1180200</v>
      </c>
      <c r="E13" s="2">
        <v>436</v>
      </c>
      <c r="F13" s="2">
        <v>210</v>
      </c>
      <c r="G13" s="2">
        <v>56.87</v>
      </c>
      <c r="H13" s="2">
        <v>0.5145672</v>
      </c>
      <c r="I13" s="2">
        <v>0.24784200000000001</v>
      </c>
      <c r="J13" s="2">
        <v>67.117974000000004</v>
      </c>
      <c r="K13" s="1" t="s">
        <v>1</v>
      </c>
      <c r="L13" s="1" t="s">
        <v>1</v>
      </c>
      <c r="M13" s="2">
        <v>1.71352394716988</v>
      </c>
      <c r="N13" s="2">
        <v>3.3690833364258901</v>
      </c>
      <c r="O13" s="1" t="s">
        <v>122</v>
      </c>
    </row>
    <row r="14" spans="1:15" ht="43.2" x14ac:dyDescent="0.3">
      <c r="B14" s="1" t="s">
        <v>135</v>
      </c>
      <c r="C14" s="1" t="s">
        <v>135</v>
      </c>
      <c r="D14" s="2">
        <v>929800</v>
      </c>
      <c r="E14" s="2">
        <v>220</v>
      </c>
      <c r="F14" s="2">
        <v>162</v>
      </c>
      <c r="G14" s="2">
        <v>34.229999999999997</v>
      </c>
      <c r="H14" s="2">
        <v>0.20455599999999999</v>
      </c>
      <c r="I14" s="2">
        <v>0.1506276</v>
      </c>
      <c r="J14" s="2">
        <v>31.827054</v>
      </c>
      <c r="K14" s="1" t="s">
        <v>1</v>
      </c>
      <c r="L14" s="1" t="s">
        <v>1</v>
      </c>
      <c r="M14" s="2">
        <v>1.3499699763417701</v>
      </c>
      <c r="N14" s="2">
        <v>2.6542735860098299</v>
      </c>
      <c r="O14" s="1" t="s">
        <v>122</v>
      </c>
    </row>
    <row r="15" spans="1:15" ht="43.2" x14ac:dyDescent="0.3">
      <c r="B15" s="1" t="s">
        <v>136</v>
      </c>
      <c r="C15" s="1" t="s">
        <v>136</v>
      </c>
      <c r="D15" s="2">
        <v>1204000</v>
      </c>
      <c r="E15" s="2">
        <v>95.9</v>
      </c>
      <c r="F15" s="2">
        <v>86.4</v>
      </c>
      <c r="G15" s="2">
        <v>16.809999999999999</v>
      </c>
      <c r="H15" s="2">
        <v>0.1154636</v>
      </c>
      <c r="I15" s="2">
        <v>0.1040256</v>
      </c>
      <c r="J15" s="2">
        <v>20.239239999999999</v>
      </c>
      <c r="K15" s="1" t="s">
        <v>1</v>
      </c>
      <c r="L15" s="1" t="s">
        <v>1</v>
      </c>
      <c r="M15" s="2">
        <v>1.7480789971128099</v>
      </c>
      <c r="N15" s="2">
        <v>3.4370245187737498</v>
      </c>
      <c r="O15" s="1" t="s">
        <v>122</v>
      </c>
    </row>
    <row r="16" spans="1:15" ht="43.2" x14ac:dyDescent="0.3">
      <c r="B16" s="1" t="s">
        <v>137</v>
      </c>
      <c r="C16" s="1" t="s">
        <v>137</v>
      </c>
      <c r="D16" s="2">
        <v>360400</v>
      </c>
      <c r="E16" s="2">
        <v>90.4</v>
      </c>
      <c r="F16" s="2">
        <v>74.099999999999994</v>
      </c>
      <c r="G16" s="2">
        <v>14.07</v>
      </c>
      <c r="H16" s="2">
        <v>3.2580159999999997E-2</v>
      </c>
      <c r="I16" s="2">
        <v>2.6705639999999999E-2</v>
      </c>
      <c r="J16" s="2">
        <v>5.0708279999999997</v>
      </c>
      <c r="K16" s="1" t="s">
        <v>1</v>
      </c>
      <c r="L16" s="1" t="s">
        <v>1</v>
      </c>
      <c r="M16" s="2">
        <v>0.52326218485004705</v>
      </c>
      <c r="N16" s="2">
        <v>1.0288236184103501</v>
      </c>
      <c r="O16" s="1" t="s">
        <v>122</v>
      </c>
    </row>
    <row r="17" spans="2:15" ht="43.2" x14ac:dyDescent="0.3">
      <c r="B17" s="1" t="s">
        <v>138</v>
      </c>
      <c r="C17" s="1" t="s">
        <v>138</v>
      </c>
      <c r="D17" s="2">
        <v>644200</v>
      </c>
      <c r="E17" s="2">
        <v>103</v>
      </c>
      <c r="F17" s="2">
        <v>87.4</v>
      </c>
      <c r="G17" s="2">
        <v>13.35</v>
      </c>
      <c r="H17" s="2">
        <v>6.6352599999999998E-2</v>
      </c>
      <c r="I17" s="2">
        <v>5.6303079999999998E-2</v>
      </c>
      <c r="J17" s="2">
        <v>8.6000700000000005</v>
      </c>
      <c r="K17" s="1" t="s">
        <v>1</v>
      </c>
      <c r="L17" s="1" t="s">
        <v>1</v>
      </c>
      <c r="M17" s="2">
        <v>0.93530937702663797</v>
      </c>
      <c r="N17" s="2">
        <v>1.8389793978355899</v>
      </c>
      <c r="O17" s="1" t="s">
        <v>122</v>
      </c>
    </row>
    <row r="18" spans="2:15" ht="57.6" x14ac:dyDescent="0.3">
      <c r="B18" s="1" t="s">
        <v>139</v>
      </c>
      <c r="C18" s="1" t="s">
        <v>139</v>
      </c>
      <c r="D18" s="2">
        <v>1456900</v>
      </c>
      <c r="E18" s="2">
        <v>102</v>
      </c>
      <c r="F18" s="2">
        <v>88.3</v>
      </c>
      <c r="G18" s="2">
        <v>14.87</v>
      </c>
      <c r="H18" s="2">
        <v>0.14860380000000001</v>
      </c>
      <c r="I18" s="2">
        <v>0.12864427000000001</v>
      </c>
      <c r="J18" s="2">
        <v>21.664103000000001</v>
      </c>
      <c r="K18" s="1" t="s">
        <v>9</v>
      </c>
      <c r="L18" s="1" t="s">
        <v>21</v>
      </c>
      <c r="M18" s="2">
        <v>2.1152627000777802</v>
      </c>
      <c r="N18" s="2">
        <v>4.1589709480078696</v>
      </c>
      <c r="O18" s="1" t="s">
        <v>122</v>
      </c>
    </row>
    <row r="19" spans="2:15" ht="57.6" x14ac:dyDescent="0.3">
      <c r="B19" s="1" t="s">
        <v>140</v>
      </c>
      <c r="C19" s="1" t="s">
        <v>140</v>
      </c>
      <c r="D19" s="2">
        <v>653100</v>
      </c>
      <c r="E19" s="2">
        <v>79.3</v>
      </c>
      <c r="F19" s="2">
        <v>69.400000000000006</v>
      </c>
      <c r="G19" s="2">
        <v>12.9</v>
      </c>
      <c r="H19" s="2">
        <v>5.1790830000000003E-2</v>
      </c>
      <c r="I19" s="2">
        <v>4.532514E-2</v>
      </c>
      <c r="J19" s="2">
        <v>8.4249899999999993</v>
      </c>
      <c r="K19" s="1" t="s">
        <v>9</v>
      </c>
      <c r="L19" s="1" t="s">
        <v>21</v>
      </c>
      <c r="M19" s="2">
        <v>0.94823122343386701</v>
      </c>
      <c r="N19" s="2">
        <v>1.8643859744278499</v>
      </c>
      <c r="O19" s="1" t="s">
        <v>122</v>
      </c>
    </row>
    <row r="20" spans="2:15" ht="57.6" x14ac:dyDescent="0.3">
      <c r="B20" s="1" t="s">
        <v>141</v>
      </c>
      <c r="C20" s="1" t="s">
        <v>141</v>
      </c>
      <c r="D20" s="2">
        <v>209000</v>
      </c>
      <c r="E20" s="2">
        <v>73.599999999999994</v>
      </c>
      <c r="F20" s="2">
        <v>59.7</v>
      </c>
      <c r="G20" s="2">
        <v>11.8</v>
      </c>
      <c r="H20" s="2">
        <v>1.5382399999999999E-2</v>
      </c>
      <c r="I20" s="2">
        <v>1.24773E-2</v>
      </c>
      <c r="J20" s="2">
        <v>2.4662000000000002</v>
      </c>
      <c r="K20" s="1" t="s">
        <v>9</v>
      </c>
      <c r="L20" s="1" t="s">
        <v>21</v>
      </c>
      <c r="M20" s="2">
        <v>0.30344560664167503</v>
      </c>
      <c r="N20" s="2">
        <v>0.59662634918913104</v>
      </c>
      <c r="O20" s="1" t="s">
        <v>122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JBT02</vt:lpstr>
      <vt:lpstr>JBT02_SameDuration</vt:lpstr>
      <vt:lpstr>JBT05</vt:lpstr>
      <vt:lpstr>JBT05_SameDuration</vt:lpstr>
      <vt:lpstr>JBT06</vt:lpstr>
      <vt:lpstr>JBT06_SameDuration</vt:lpstr>
      <vt:lpstr>JBT11</vt:lpstr>
      <vt:lpstr>JBT11_SameDuration</vt:lpstr>
      <vt:lpstr>JBT14</vt:lpstr>
      <vt:lpstr>JBT14_SameDuration</vt:lpstr>
      <vt:lpstr>JBT18</vt:lpstr>
      <vt:lpstr>JBT18_SameDuration</vt:lpstr>
      <vt:lpstr>JBT19</vt:lpstr>
      <vt:lpstr>JBT19_SameDuration</vt:lpstr>
      <vt:lpstr>JBT01</vt:lpstr>
      <vt:lpstr>JBT01_SameDuration</vt:lpstr>
      <vt:lpstr>JBT13</vt:lpstr>
      <vt:lpstr>JBT13_SameDuration</vt:lpstr>
      <vt:lpstr>EstimatesTable</vt:lpstr>
      <vt:lpstr>Sheet1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Serena Matt</dc:creator>
  <cp:lastModifiedBy>Serena Matt</cp:lastModifiedBy>
  <dcterms:created xsi:type="dcterms:W3CDTF">2018-07-04T14:34:05Z</dcterms:created>
  <dcterms:modified xsi:type="dcterms:W3CDTF">2018-07-30T15:43:13Z</dcterms:modified>
</cp:coreProperties>
</file>